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ileserver\idi\2_IDI CCenergia\1_Projetos IDI\1_Inovação_Produto\FUNDIROAD\Pegada Carbono\"/>
    </mc:Choice>
  </mc:AlternateContent>
  <xr:revisionPtr revIDLastSave="0" documentId="13_ncr:1_{BFEEB812-0C3F-4287-8958-8A2E31D247B2}" xr6:coauthVersionLast="47" xr6:coauthVersionMax="47" xr10:uidLastSave="{00000000-0000-0000-0000-000000000000}"/>
  <workbookProtection workbookAlgorithmName="SHA-512" workbookHashValue="QA3W8DahDAhjfZQZoC+HnyKTBCzx03dJUrm9SMdrGhhpIvNFf1ohH42IsWobFxW7NHlo/ubK9f9Ao/pMQRsBOw==" workbookSaltValue="3XuqX7bJT6g8DMkK2E489A==" workbookSpinCount="100000" lockStructure="1"/>
  <bookViews>
    <workbookView xWindow="-108" yWindow="-108" windowWidth="23256" windowHeight="12456" tabRatio="875" firstSheet="1" activeTab="2" xr2:uid="{8BEBF84D-62CF-43E4-B823-D1F7442E05F4}"/>
  </bookViews>
  <sheets>
    <sheet name="Info Entrada" sheetId="12" state="hidden" r:id="rId1"/>
    <sheet name="Disclaimer" sheetId="13" r:id="rId2"/>
    <sheet name="Cálculo Pegada" sheetId="2" r:id="rId3"/>
    <sheet name="FE_Combustíveis" sheetId="4" state="hidden" r:id="rId4"/>
    <sheet name="FE_Transportes" sheetId="8" state="hidden" r:id="rId5"/>
    <sheet name="FE_Transportes_1" sheetId="5" state="hidden" r:id="rId6"/>
    <sheet name="FE_EE" sheetId="9" state="hidden" r:id="rId7"/>
    <sheet name="PAG" sheetId="6" state="hidden" r:id="rId8"/>
    <sheet name="Processos" sheetId="10" state="hidden" r:id="rId9"/>
    <sheet name="Resíduos" sheetId="11" state="hidden" r:id="rId10"/>
    <sheet name="Unidades" sheetId="3" state="hidden" r:id="rId11"/>
  </sheets>
  <externalReferences>
    <externalReference r:id="rId12"/>
  </externalReferences>
  <definedNames>
    <definedName name="_xlnm._FilterDatabase" localSheetId="7" hidden="1">PAG!$B$1:$J$145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9" i="2" l="1"/>
  <c r="C89" i="2"/>
  <c r="C69" i="2"/>
  <c r="C68" i="2"/>
  <c r="C67" i="2"/>
  <c r="C63" i="2"/>
  <c r="C62" i="2"/>
  <c r="C61" i="2"/>
  <c r="C57" i="2"/>
  <c r="C56" i="2"/>
  <c r="C55" i="2"/>
  <c r="C82" i="2"/>
  <c r="C81" i="2"/>
  <c r="C80" i="2"/>
  <c r="D42" i="2"/>
  <c r="D38" i="2"/>
  <c r="D34" i="2"/>
  <c r="D30" i="2"/>
  <c r="D12" i="2"/>
  <c r="D24" i="2"/>
  <c r="D20" i="2"/>
  <c r="D16" i="2"/>
  <c r="C83" i="2" l="1"/>
  <c r="C70" i="2"/>
  <c r="C58" i="2"/>
  <c r="C64" i="2"/>
  <c r="H14" i="5"/>
  <c r="H30" i="5"/>
  <c r="H29" i="5"/>
  <c r="C88" i="2"/>
  <c r="C49" i="2"/>
  <c r="C31" i="2"/>
  <c r="C32" i="2" s="1"/>
  <c r="C35" i="2"/>
  <c r="C36" i="2" s="1"/>
  <c r="C39" i="2"/>
  <c r="C40" i="2" s="1"/>
  <c r="C43" i="2"/>
  <c r="C44" i="2" s="1"/>
  <c r="D10" i="8"/>
  <c r="H10" i="8" s="1"/>
  <c r="D3" i="11"/>
  <c r="D7" i="11"/>
  <c r="D6" i="11"/>
  <c r="D5" i="11"/>
  <c r="C5" i="11"/>
  <c r="D4" i="11"/>
  <c r="C4" i="11"/>
  <c r="D10" i="10"/>
  <c r="D9" i="10"/>
  <c r="D8" i="10"/>
  <c r="D7" i="10"/>
  <c r="D6" i="10"/>
  <c r="D5" i="10"/>
  <c r="D4" i="10"/>
  <c r="D3" i="10"/>
  <c r="C87" i="2"/>
  <c r="C76" i="2"/>
  <c r="C75" i="2"/>
  <c r="C74" i="2"/>
  <c r="C51" i="2"/>
  <c r="C50" i="2"/>
  <c r="C103" i="2"/>
  <c r="C104" i="2" s="1"/>
  <c r="C99" i="2"/>
  <c r="C100" i="2" s="1"/>
  <c r="C95" i="2"/>
  <c r="C96" i="2" s="1"/>
  <c r="C110" i="2"/>
  <c r="C120" i="2" s="1"/>
  <c r="C111" i="2"/>
  <c r="C121" i="2" s="1"/>
  <c r="C135" i="2" s="1"/>
  <c r="C117" i="2" l="1"/>
  <c r="C115" i="2"/>
  <c r="C90" i="2"/>
  <c r="C52" i="2"/>
  <c r="C77" i="2"/>
  <c r="C116" i="2" l="1"/>
  <c r="C131" i="2"/>
  <c r="H9" i="8"/>
  <c r="H8" i="8"/>
  <c r="D7" i="8"/>
  <c r="D6" i="8"/>
  <c r="H6" i="8" s="1"/>
  <c r="D5" i="8"/>
  <c r="H5" i="8" s="1"/>
  <c r="F14" i="5"/>
  <c r="D14" i="5"/>
  <c r="H13" i="5"/>
  <c r="F13" i="5"/>
  <c r="D13" i="5"/>
  <c r="H12" i="5"/>
  <c r="F12" i="5"/>
  <c r="D12" i="5"/>
  <c r="H11" i="5"/>
  <c r="F11" i="5"/>
  <c r="D11" i="5"/>
  <c r="H10" i="5"/>
  <c r="F10" i="5"/>
  <c r="D10" i="5"/>
  <c r="H9" i="5"/>
  <c r="F9" i="5"/>
  <c r="D9" i="5"/>
  <c r="H8" i="5"/>
  <c r="F8" i="5"/>
  <c r="D8" i="5"/>
  <c r="H7" i="5"/>
  <c r="F7" i="5"/>
  <c r="D7" i="5"/>
  <c r="H6" i="5"/>
  <c r="F6" i="5"/>
  <c r="D6" i="5"/>
  <c r="H10" i="4"/>
  <c r="H11" i="4"/>
  <c r="H12" i="4"/>
  <c r="H15" i="4"/>
  <c r="H16" i="4"/>
  <c r="H17" i="4"/>
  <c r="H18" i="4"/>
  <c r="H20" i="4"/>
  <c r="H22" i="4"/>
  <c r="H23" i="4"/>
  <c r="H28" i="4"/>
  <c r="H29" i="4"/>
  <c r="H30" i="4"/>
  <c r="H31" i="4"/>
  <c r="H33" i="4"/>
  <c r="H34" i="4"/>
  <c r="H35" i="4"/>
  <c r="H36" i="4"/>
  <c r="H39" i="4"/>
  <c r="H40" i="4"/>
  <c r="H41" i="4"/>
  <c r="H42" i="4"/>
  <c r="H43" i="4"/>
  <c r="H44" i="4"/>
  <c r="H45" i="4"/>
  <c r="H46" i="4"/>
  <c r="H47" i="4"/>
  <c r="H48" i="4"/>
  <c r="H49" i="4"/>
  <c r="E26" i="4"/>
  <c r="E27" i="4" s="1"/>
  <c r="D38" i="4"/>
  <c r="H38" i="4" s="1"/>
  <c r="D37" i="4"/>
  <c r="H37" i="4" s="1"/>
  <c r="D32" i="4"/>
  <c r="H32" i="4" s="1"/>
  <c r="D25" i="4"/>
  <c r="D26" i="4" s="1"/>
  <c r="D27" i="4" s="1"/>
  <c r="H27" i="4" s="1"/>
  <c r="D24" i="4"/>
  <c r="D21" i="4"/>
  <c r="H21" i="4" s="1"/>
  <c r="D19" i="4"/>
  <c r="H19" i="4" s="1"/>
  <c r="D14" i="4"/>
  <c r="H14" i="4" s="1"/>
  <c r="D13" i="4"/>
  <c r="H13" i="4" s="1"/>
  <c r="D9" i="4"/>
  <c r="H9" i="4" s="1"/>
  <c r="D8" i="4"/>
  <c r="D7" i="4"/>
  <c r="D6" i="4"/>
  <c r="D5" i="4"/>
  <c r="H5" i="4" s="1"/>
  <c r="H7" i="8" l="1"/>
  <c r="H26" i="4"/>
  <c r="H25" i="4"/>
  <c r="H24" i="4"/>
  <c r="H8" i="4"/>
  <c r="C25" i="2" s="1"/>
  <c r="C26" i="2" s="1"/>
  <c r="H7" i="4"/>
  <c r="C21" i="2" s="1"/>
  <c r="C22" i="2" s="1"/>
  <c r="C13" i="2"/>
  <c r="C14" i="2" s="1"/>
  <c r="H6" i="4"/>
  <c r="C17" i="2" s="1"/>
  <c r="C18" i="2" s="1"/>
  <c r="C114" i="2" l="1"/>
  <c r="C125" i="2" l="1"/>
  <c r="C134" i="2"/>
  <c r="C136" i="2" s="1"/>
  <c r="C130" i="2"/>
  <c r="C132" i="2" s="1"/>
  <c r="C1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Pedro Lima</author>
  </authors>
  <commentList>
    <comment ref="B29" authorId="0" shapeId="0" xr:uid="{8696AB76-C0A3-436C-8470-829E8DB1EF70}">
      <text>
        <r>
          <rPr>
            <b/>
            <sz val="9"/>
            <color indexed="81"/>
            <rFont val="Tahoma"/>
            <family val="2"/>
          </rPr>
          <t>Pedro Lima:</t>
        </r>
        <r>
          <rPr>
            <sz val="9"/>
            <color indexed="81"/>
            <rFont val="Tahoma"/>
            <family val="2"/>
          </rPr>
          <t xml:space="preserve">
Este método de cálculo é bastante simplificado. Pretende-se obter uma estimativa da representatividade das emissões no total de emissões. Os cálculos desta calculadora são baseados em valores IPCC (AR6).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Lima</author>
  </authors>
  <commentList>
    <comment ref="B27" authorId="0" shapeId="0" xr:uid="{43B91F9A-8C83-4E21-8C35-BB5BC1E1E118}">
      <text>
        <r>
          <rPr>
            <b/>
            <sz val="9"/>
            <color indexed="81"/>
            <rFont val="Tahoma"/>
            <family val="2"/>
          </rPr>
          <t>Inclui apenas emissões diretas associadas a maquinaria industrial dentro das instalações</t>
        </r>
      </text>
    </comment>
    <comment ref="B108" authorId="0" shapeId="0" xr:uid="{14785D9C-850D-4925-9D2A-356BA1649C9A}">
      <text>
        <r>
          <rPr>
            <sz val="9"/>
            <color indexed="81"/>
            <rFont val="Tahoma"/>
            <family val="2"/>
          </rPr>
          <t>Encontra-se disponível na fatura do comercializador</t>
        </r>
      </text>
    </comment>
    <comment ref="B124" authorId="0" shapeId="0" xr:uid="{0F540FEF-E9D9-4D54-9053-B09DA3F940F4}">
      <text>
        <r>
          <rPr>
            <b/>
            <sz val="9"/>
            <color indexed="81"/>
            <rFont val="Tahoma"/>
            <family val="2"/>
          </rPr>
          <t>Calculado com base nos contratos de compra de eletricidade específicos (PPAs, certificados de energia renovável)</t>
        </r>
      </text>
    </comment>
    <comment ref="B125" authorId="0" shapeId="0" xr:uid="{DD3C38A9-2903-4BBF-BEA7-489B6F436871}">
      <text>
        <r>
          <rPr>
            <b/>
            <sz val="9"/>
            <color indexed="81"/>
            <rFont val="Tahoma"/>
            <family val="2"/>
          </rPr>
          <t>Calculado com base nos fatores médios de emissão da rede elétrica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Pedro Lima</author>
  </authors>
  <commentList>
    <comment ref="J2" authorId="0" shapeId="0" xr:uid="{7B818E67-C0ED-4F1F-A83E-792E55AD8E5D}">
      <text>
        <r>
          <rPr>
            <b/>
            <sz val="9"/>
            <color indexed="81"/>
            <rFont val="Tahoma"/>
            <family val="2"/>
          </rPr>
          <t>Pedro Lima:</t>
        </r>
        <r>
          <rPr>
            <sz val="9"/>
            <color indexed="81"/>
            <rFont val="Tahoma"/>
            <family val="2"/>
          </rPr>
          <t xml:space="preserve">
IPCC Assessment Sixt Report 2020 (AR6)</t>
        </r>
      </text>
    </comment>
  </commentList>
</comments>
</file>

<file path=xl/sharedStrings.xml><?xml version="1.0" encoding="utf-8"?>
<sst xmlns="http://schemas.openxmlformats.org/spreadsheetml/2006/main" count="1462" uniqueCount="878">
  <si>
    <t>1. INFORMAÇÕES GERAIS</t>
  </si>
  <si>
    <t>Nome Organização</t>
  </si>
  <si>
    <t>Ano de referência</t>
  </si>
  <si>
    <t>CAE Atividade</t>
  </si>
  <si>
    <t>NIF</t>
  </si>
  <si>
    <t>Email</t>
  </si>
  <si>
    <t>2. EMISSÕES DIRETAS (ÂMBITO 1)</t>
  </si>
  <si>
    <t>2.1 Combustão Estacionária</t>
  </si>
  <si>
    <t>Número de formas de energia e respetivo consumo anual</t>
  </si>
  <si>
    <t>2.2 Combustão Móvel</t>
  </si>
  <si>
    <t>2.2.1 Maquinaria Industrial</t>
  </si>
  <si>
    <t>Número de combustíveis utilizados e respetivo consumo anual</t>
  </si>
  <si>
    <t>2.2.2 Frota de Transporte</t>
  </si>
  <si>
    <t>Número de veículos ligeiros de passageiros por tipo de combustível e respetivos km/ano percorridos</t>
  </si>
  <si>
    <t>Número de veículos ligeiros de mercadorias por tipo de combustível e respetivos km/ano percorridos</t>
  </si>
  <si>
    <t>Número de veículos pesados e respetivos km/ano percorridos</t>
  </si>
  <si>
    <t>2.3 Processo</t>
  </si>
  <si>
    <t>2.3.1 Processos Industriais</t>
  </si>
  <si>
    <t>Caraterização do processo industrial (tipificados) e produção anual</t>
  </si>
  <si>
    <t xml:space="preserve">Caraterização de outros processos industriais, produção anual e FE de CO2 associado </t>
  </si>
  <si>
    <t>2.3.2 Outras emissões de processo</t>
  </si>
  <si>
    <t>Caraterização do tipo de tratamento(tipificados), produção anual (e FE se relevante)</t>
  </si>
  <si>
    <t>Caraterização de outros tipos de tratamento/resíduos, produção anual e FE associado</t>
  </si>
  <si>
    <t>2.4 Emissões Fugitivas</t>
  </si>
  <si>
    <t>Dados de recarregamento de gases fluorados (ano) para diferentes tipos de fluidos refrigerantes</t>
  </si>
  <si>
    <t>3. EMISSÕES INDIRETAS (ÂMBITO 2)</t>
  </si>
  <si>
    <t>Número de formas de energia adquiridas e FE associado (market based)</t>
  </si>
  <si>
    <t>Seleção de opção</t>
  </si>
  <si>
    <t>Preenchimento manual</t>
  </si>
  <si>
    <t>Resultados</t>
  </si>
  <si>
    <t>Forma de energia 1</t>
  </si>
  <si>
    <t>Gasóleo / óleo diesel</t>
  </si>
  <si>
    <t>valor</t>
  </si>
  <si>
    <t>Fator de Emissão</t>
  </si>
  <si>
    <t>kgCO2/un</t>
  </si>
  <si>
    <r>
      <t>Emissões CO</t>
    </r>
    <r>
      <rPr>
        <vertAlign val="subscript"/>
        <sz val="11"/>
        <color theme="1"/>
        <rFont val="Calibri"/>
        <family val="2"/>
        <scheme val="minor"/>
      </rPr>
      <t>2</t>
    </r>
  </si>
  <si>
    <r>
      <t>tCO</t>
    </r>
    <r>
      <rPr>
        <vertAlign val="subscript"/>
        <sz val="11"/>
        <color theme="1"/>
        <rFont val="Calibri"/>
        <family val="2"/>
        <scheme val="minor"/>
      </rPr>
      <t>2</t>
    </r>
  </si>
  <si>
    <t>Forma de energia 2</t>
  </si>
  <si>
    <t>Forma de energia 3</t>
  </si>
  <si>
    <t>Forma de energia 4</t>
  </si>
  <si>
    <r>
      <t>kgCO</t>
    </r>
    <r>
      <rPr>
        <vertAlign val="subscript"/>
        <sz val="11"/>
        <color theme="1"/>
        <rFont val="Calibri"/>
        <family val="2"/>
        <scheme val="minor"/>
      </rPr>
      <t>2</t>
    </r>
    <r>
      <rPr>
        <sz val="11"/>
        <color theme="1"/>
        <rFont val="Calibri"/>
        <family val="2"/>
        <scheme val="minor"/>
      </rPr>
      <t>/un</t>
    </r>
  </si>
  <si>
    <t>Combustível 1</t>
  </si>
  <si>
    <t>GPL - Gás de Petróleo Liquefeito</t>
  </si>
  <si>
    <t>Combustível 2</t>
  </si>
  <si>
    <t>Combustível 3</t>
  </si>
  <si>
    <t>Combustível 4</t>
  </si>
  <si>
    <t>Veículo ligeiro de passageiros</t>
  </si>
  <si>
    <t>Tipo de Combustível</t>
  </si>
  <si>
    <t>Gasóleo</t>
  </si>
  <si>
    <t>Km/ano percorridos</t>
  </si>
  <si>
    <r>
      <t>Fator de Emissão CO</t>
    </r>
    <r>
      <rPr>
        <vertAlign val="subscript"/>
        <sz val="11"/>
        <color theme="1"/>
        <rFont val="Calibri"/>
        <family val="2"/>
        <scheme val="minor"/>
      </rPr>
      <t>2</t>
    </r>
  </si>
  <si>
    <t>kg/km</t>
  </si>
  <si>
    <r>
      <t>Fator de Emissão CH</t>
    </r>
    <r>
      <rPr>
        <vertAlign val="subscript"/>
        <sz val="11"/>
        <color theme="1"/>
        <rFont val="Calibri"/>
        <family val="2"/>
        <scheme val="minor"/>
      </rPr>
      <t>4</t>
    </r>
  </si>
  <si>
    <r>
      <t>Fator de Emissão N</t>
    </r>
    <r>
      <rPr>
        <vertAlign val="subscript"/>
        <sz val="11"/>
        <color theme="1"/>
        <rFont val="Calibri"/>
        <family val="2"/>
        <scheme val="minor"/>
      </rPr>
      <t>2</t>
    </r>
    <r>
      <rPr>
        <sz val="11"/>
        <color theme="1"/>
        <rFont val="Calibri"/>
        <family val="2"/>
        <scheme val="minor"/>
      </rPr>
      <t>O</t>
    </r>
  </si>
  <si>
    <t>Veículo ligeiro de mercadorias</t>
  </si>
  <si>
    <t xml:space="preserve">Gasóleo </t>
  </si>
  <si>
    <t>Veículo pesado</t>
  </si>
  <si>
    <t>Outros</t>
  </si>
  <si>
    <t>Incineração (sem recuperação de energia)</t>
  </si>
  <si>
    <t>Recarregamento de gases fluorados</t>
  </si>
  <si>
    <t>Gás fluorado 1</t>
  </si>
  <si>
    <t>R-13</t>
  </si>
  <si>
    <t>kg</t>
  </si>
  <si>
    <t>PAG</t>
  </si>
  <si>
    <t>kgCO2/kg fluido</t>
  </si>
  <si>
    <t>Emissões (ton CO2)</t>
  </si>
  <si>
    <t>ton</t>
  </si>
  <si>
    <t>Gás fluorado 2</t>
  </si>
  <si>
    <t>SF6</t>
  </si>
  <si>
    <t>Gás fluorado 3</t>
  </si>
  <si>
    <t>R-415B</t>
  </si>
  <si>
    <t>Consumo anual de energia elétrica adquirida</t>
  </si>
  <si>
    <t>kWh</t>
  </si>
  <si>
    <t>ton/MWh</t>
  </si>
  <si>
    <r>
      <t>Emissões CO</t>
    </r>
    <r>
      <rPr>
        <vertAlign val="subscript"/>
        <sz val="11"/>
        <color theme="1"/>
        <rFont val="Calibri"/>
        <family val="2"/>
        <scheme val="minor"/>
      </rPr>
      <t>2</t>
    </r>
    <r>
      <rPr>
        <sz val="11"/>
        <color theme="1"/>
        <rFont val="Calibri"/>
        <family val="2"/>
        <scheme val="minor"/>
      </rPr>
      <t xml:space="preserve"> (market based)</t>
    </r>
  </si>
  <si>
    <r>
      <t>Emissões CO</t>
    </r>
    <r>
      <rPr>
        <vertAlign val="subscript"/>
        <sz val="11"/>
        <color theme="1"/>
        <rFont val="Calibri"/>
        <family val="2"/>
        <scheme val="minor"/>
      </rPr>
      <t>2</t>
    </r>
    <r>
      <rPr>
        <sz val="11"/>
        <color theme="1"/>
        <rFont val="Calibri"/>
        <family val="2"/>
        <scheme val="minor"/>
      </rPr>
      <t xml:space="preserve"> (location based)</t>
    </r>
  </si>
  <si>
    <t>EMISSÕES DIRETAS (ÂMBITO 1)</t>
  </si>
  <si>
    <t>EMISSÕES INDIRETAS (ÂMBITO 2)</t>
  </si>
  <si>
    <t>Energia Elétrica da rede (market based)</t>
  </si>
  <si>
    <t>Energia Elétrica da rede (location based)</t>
  </si>
  <si>
    <t>TOTAL</t>
  </si>
  <si>
    <t>Combustível</t>
  </si>
  <si>
    <t>Unidades</t>
  </si>
  <si>
    <t>Poder Calorífico
Inferior (PCI)</t>
  </si>
  <si>
    <t>Fatores de Emissão</t>
  </si>
  <si>
    <t>Fatores de Emissão (unidades originais) - IPCC (2006)</t>
  </si>
  <si>
    <t>FE produção de combustível (kgGEE/unid)</t>
  </si>
  <si>
    <t>Definições dos combustíveis</t>
  </si>
  <si>
    <r>
      <t>CH</t>
    </r>
    <r>
      <rPr>
        <b/>
        <vertAlign val="subscript"/>
        <sz val="10"/>
        <color theme="0"/>
        <rFont val="Calibri"/>
        <family val="2"/>
        <scheme val="minor"/>
      </rPr>
      <t>4</t>
    </r>
    <r>
      <rPr>
        <b/>
        <sz val="10"/>
        <color theme="0"/>
        <rFont val="Calibri"/>
        <family val="2"/>
        <scheme val="minor"/>
      </rPr>
      <t xml:space="preserve"> (kg/TJ) por setor de atividade</t>
    </r>
  </si>
  <si>
    <r>
      <t>N</t>
    </r>
    <r>
      <rPr>
        <b/>
        <vertAlign val="subscript"/>
        <sz val="10"/>
        <color theme="0"/>
        <rFont val="Calibri"/>
        <family val="2"/>
        <scheme val="minor"/>
      </rPr>
      <t>2</t>
    </r>
    <r>
      <rPr>
        <b/>
        <sz val="10"/>
        <color theme="0"/>
        <rFont val="Calibri"/>
        <family val="2"/>
        <scheme val="minor"/>
      </rPr>
      <t>O (kg/TJ) por setor de atividade</t>
    </r>
  </si>
  <si>
    <t>(MJ/unid)</t>
  </si>
  <si>
    <t>Fonte</t>
  </si>
  <si>
    <t>(kg/TJ)</t>
  </si>
  <si>
    <r>
      <t>CO</t>
    </r>
    <r>
      <rPr>
        <b/>
        <vertAlign val="subscript"/>
        <sz val="10"/>
        <color theme="0"/>
        <rFont val="Calibri"/>
        <family val="2"/>
        <scheme val="minor"/>
      </rPr>
      <t>2</t>
    </r>
    <r>
      <rPr>
        <b/>
        <sz val="10"/>
        <color theme="0"/>
        <rFont val="Calibri"/>
        <family val="2"/>
        <scheme val="minor"/>
      </rPr>
      <t xml:space="preserve"> (kg/un)</t>
    </r>
  </si>
  <si>
    <t>Energia</t>
  </si>
  <si>
    <t>Manufatura ou Construção</t>
  </si>
  <si>
    <t>Comercial ou Institucional</t>
  </si>
  <si>
    <t>Residencial, Agricultura ou Floresta</t>
  </si>
  <si>
    <t>Antracite</t>
  </si>
  <si>
    <t>Toneladas</t>
  </si>
  <si>
    <t>Despacho n.º 17313/2008</t>
  </si>
  <si>
    <t>Hulha de alta qualidade utilizada para aplicações industriais e residenciais. Tem em geral menos de 10 % de matéria volátil e um conteúdo de carbono elevado (cerca de 90 % de carbono fixo). O seu poder calorífico superior ultrapassa 23 865 kJ/kg (5 700 kcal/kg), medido sem cinzas, mas com humidade.</t>
  </si>
  <si>
    <t>Alcatrão de hulha</t>
  </si>
  <si>
    <t>-</t>
  </si>
  <si>
    <t>Betume</t>
  </si>
  <si>
    <t>Briquetes de linhite</t>
  </si>
  <si>
    <t>Combustível composto manufacturado a partir de finos de hulha com adição de um aglomerante. A quantidade de briquetes produzida pode, assim, ser ligeiramente mais elevada que a quantidade efectiva de hulha consumida no processo de transformação.</t>
  </si>
  <si>
    <t>Ceras Parafínicas</t>
  </si>
  <si>
    <t>Despacho n.º 17313/2009</t>
  </si>
  <si>
    <t>Despacho n.º 17313/2008 / IPCC 2006</t>
  </si>
  <si>
    <t>Carvão de coque</t>
  </si>
  <si>
    <t>Hulha betuminosa com uma qualidade que permite a produção de um coque susceptível de utilização em altos-fornos. O seu poder calorífico superior ultrapassa 23 865 kJ/kg (5700 kcal/kg), medido sem cinzas, mas com humidade.</t>
  </si>
  <si>
    <t>Coque de forno de coque e coque de linhite</t>
  </si>
  <si>
    <t>Produto sólido obtido da carbonização de carvão, principalmente carvão de coque, a temperatura elevada, com baixo teor de humidade e de matéria volátil. O coque de forno de coque é utilizado principalmente na indústria siderúrgica, actuando como fonte de energia e agente químico. O pó de carvão e o coque de fundição incluem-se nesta categoria. O semicoque (um produto sólido obtido da carbonização do carvão a baixa temperatura) deve ser incluído nesta categoria. O semicoque é utilizado como combustível doméstico ou pela própria unidade de transformação. Esta rubrica inclui igualmente o coque, o pó de carvão e o semicoque feitos a partir de linhite.</t>
  </si>
  <si>
    <t>Coque de Petróleo</t>
  </si>
  <si>
    <t>Etano</t>
  </si>
  <si>
    <r>
      <t>Hidrocarboneto (C</t>
    </r>
    <r>
      <rPr>
        <vertAlign val="subscript"/>
        <sz val="10"/>
        <rFont val="Calibri"/>
        <family val="2"/>
        <scheme val="minor"/>
      </rPr>
      <t>2</t>
    </r>
    <r>
      <rPr>
        <sz val="10"/>
        <rFont val="Calibri"/>
        <family val="2"/>
        <scheme val="minor"/>
      </rPr>
      <t>H</t>
    </r>
    <r>
      <rPr>
        <vertAlign val="subscript"/>
        <sz val="10"/>
        <rFont val="Calibri"/>
        <family val="2"/>
        <scheme val="minor"/>
      </rPr>
      <t>6</t>
    </r>
    <r>
      <rPr>
        <sz val="10"/>
        <rFont val="Calibri"/>
        <family val="2"/>
        <scheme val="minor"/>
      </rPr>
      <t>) de cadeia linear, gasosos no estado natural, extraído do gás natural e dos gases de refinaria.</t>
    </r>
  </si>
  <si>
    <t>Fuelóleo</t>
  </si>
  <si>
    <t>Litros</t>
  </si>
  <si>
    <t>Despacho n.º 17313/2008; Densidade: APA, https://apambiente.pt/sites/default/files/_Clima/CELE/Tabelas_Fatores_Calculo/tabela_densidades_combustiveis_2013.pdf</t>
  </si>
  <si>
    <t>Gás de Alto Forno</t>
  </si>
  <si>
    <t>Subproduto da produção de aço numa fornalha de oxigénio, recuperado à saída da fornalha. O gás é igualmente conhecido como gás de conversor, gás LD ou gás BOS</t>
  </si>
  <si>
    <t xml:space="preserve">Gás de Coqueria </t>
  </si>
  <si>
    <t>Subproduto da fabricação de coque de forno de coque para a produção de ferro e aço.</t>
  </si>
  <si>
    <t>Gás produzido em fábricas</t>
  </si>
  <si>
    <t>Abrange todos os tipos de gases produzidos em instalações de serviços públicos ou em empresas privadas cuja actividade principal seja a produção, o transporte e a distribuição de gás. Inclui o gás produzido por carbonização (incluindo o gás produzido por fornos de coque e transferido para a categoria de gás produzido em fábricas), por gaseificação total com ou sem enriquecimento com produtos petrolíferos (GPL, fuelóleo residual, etc.) e por reforma e simples mistura de gases e/ou ar, declarada na parte relativa a «De outras fontes». No sector de transformação figuram as quantidades de gás produzido em fábricas transferidas para a rubrica de misturas com gás natural distribuídas e consumidas através da rede de gás natural. A produção de outros gases de hulha (ou seja, gás de forno de coque, gás de alto--forno e gás de forno de aciaria de oxigénio) deve ser declarada nas colunas referentes a esses gases, e não como produção de gás em fábricas. Os gases de hulha transferidos para fábricas de gás devem então ser declarados (na sua própria coluna) no sector de transformação na linha das fábricas de gás. A quantidade total de gás produzido em fábricas resultante de transferências de outros gases de hulha deve aparecer na parte relativa à produção de gás em fábricas.</t>
  </si>
  <si>
    <t>Gás de forno de aciaria de oxigénio</t>
  </si>
  <si>
    <t>Despacho n.º 17313/2008; desnidade: REPSOL - https://www.repsol.pt/content/dam/repsol-portugal/gas-da-repsol/FDS-GPL-CARBURANTE-rev.5.1_tcm101-201700.pdf</t>
  </si>
  <si>
    <r>
      <t>Hidrocarbonetos parafínicos claros obtidos dos processos de refinação e nas instalações de estabilização do petróleo bruto e de transformação de gás natural. São constituídos principalmente por propano (C</t>
    </r>
    <r>
      <rPr>
        <vertAlign val="subscript"/>
        <sz val="10"/>
        <rFont val="Calibri"/>
        <family val="2"/>
        <scheme val="minor"/>
      </rPr>
      <t>3</t>
    </r>
    <r>
      <rPr>
        <sz val="10"/>
        <rFont val="Calibri"/>
        <family val="2"/>
        <scheme val="minor"/>
      </rPr>
      <t>H</t>
    </r>
    <r>
      <rPr>
        <vertAlign val="subscript"/>
        <sz val="10"/>
        <rFont val="Calibri"/>
        <family val="2"/>
        <scheme val="minor"/>
      </rPr>
      <t>8</t>
    </r>
    <r>
      <rPr>
        <sz val="10"/>
        <rFont val="Calibri"/>
        <family val="2"/>
        <scheme val="minor"/>
      </rPr>
      <t>) e butano (C</t>
    </r>
    <r>
      <rPr>
        <vertAlign val="subscript"/>
        <sz val="10"/>
        <rFont val="Calibri"/>
        <family val="2"/>
        <scheme val="minor"/>
      </rPr>
      <t>4</t>
    </r>
    <r>
      <rPr>
        <sz val="10"/>
        <rFont val="Calibri"/>
        <family val="2"/>
        <scheme val="minor"/>
      </rPr>
      <t>H</t>
    </r>
    <r>
      <rPr>
        <vertAlign val="subscript"/>
        <sz val="10"/>
        <rFont val="Calibri"/>
        <family val="2"/>
        <scheme val="minor"/>
      </rPr>
      <t>10</t>
    </r>
    <r>
      <rPr>
        <sz val="10"/>
        <rFont val="Calibri"/>
        <family val="2"/>
        <scheme val="minor"/>
      </rPr>
      <t>) ou por uma combinação dos dois. Podem igualmente incluir propileno, butileno, isopropileno e isobutileno. Os GPL são normalmente liquefeitos sob pressão para o transporte e a armazenagem.</t>
    </r>
  </si>
  <si>
    <t>Gás de Refinaria (não liquefeito)</t>
  </si>
  <si>
    <t>Gás Natural</t>
  </si>
  <si>
    <r>
      <t>m</t>
    </r>
    <r>
      <rPr>
        <vertAlign val="superscript"/>
        <sz val="10"/>
        <rFont val="Calibri"/>
        <family val="2"/>
        <scheme val="minor"/>
      </rPr>
      <t>3</t>
    </r>
  </si>
  <si>
    <t>Estimado com base no Despacho e IPCC</t>
  </si>
  <si>
    <t>O gás natural deve incluir: (1) Gás natural misturado (por vezes também designado por Town Gas ou City Gas), um gás de elevado poder calorífico obtido através de uma mistura de gás natural com outros gases; (2) Gás de cidade, um gás de elevado poder calorífico obtido através de uma mistura de gás natural com outros gases derivados de outros produtos primários, e normalmente distribuído através da rede de gás natural (por exemplo, metano de jazidas de carvão); (3) Gás natural de substituição, um gás de elevado poder calorífico, fabricado por conversão química de um combustível fóssil hidrocarboneto, em que as principais matérias-primas são: gás natural, carvão, petróleo e xisto betuminoso.</t>
  </si>
  <si>
    <t>Gás Natural (superior a 93% de metano)</t>
  </si>
  <si>
    <t>m³</t>
  </si>
  <si>
    <t>LGN - Gás Natural Liquefeito</t>
  </si>
  <si>
    <t>Hidrocarbonetos líquidos ou liquefeitos extraídos do gás natural em instalações de separação ou instalações de transformação do gás. Os líquidos de gás natural incluem o etano, o propano, o butano (normal e iso), (iso)pentano e pentanos plus (muitas vezes referidos como gasolina natural ou condensado de fábrica).</t>
  </si>
  <si>
    <t>O gasóleo/óleo diesel é, antes de mais, um destilado médio que destila entre 180 oC e 380 oC. Inclui os componentes para mistura.</t>
  </si>
  <si>
    <t>Gasolina para motores</t>
  </si>
  <si>
    <t xml:space="preserve">PCI - Despacho n.º 17313/2008; densidade - https://www.engineeringtoolbox.com/fuels-densities-specific-volumes-d_166.html </t>
  </si>
  <si>
    <r>
      <t>A gasolina para motores é constituída por uma mistura de hidrocarbonetos leves que destilam entre 35</t>
    </r>
    <r>
      <rPr>
        <vertAlign val="superscript"/>
        <sz val="10"/>
        <rFont val="Calibri"/>
        <family val="2"/>
        <scheme val="minor"/>
      </rPr>
      <t>o</t>
    </r>
    <r>
      <rPr>
        <sz val="10"/>
        <rFont val="Calibri"/>
        <family val="2"/>
        <scheme val="minor"/>
      </rPr>
      <t>C e 215oC. É utilizada como combustível para motores de ignição comandada de veículos terrestres. A gasolina para motores pode incluir aditivos, oxigenatos e incrementadores de octanas, incluindo compostos de chumbo, como TEL e TML. Inclui os compostos para mistura com gasolina para motores (excluindo aditivos/ /oxigenatos), como alquilatos, isomeratos, produtos reformados, gasolina de craqueamento destinada a utilização final em motores.</t>
    </r>
  </si>
  <si>
    <t>Gasolina de Aviação</t>
  </si>
  <si>
    <t>IPCC 2006</t>
  </si>
  <si>
    <t>Gasolina tipo Jet Fuel (nafta tipo Jet Fuel ou JP4)</t>
  </si>
  <si>
    <t>Linhite</t>
  </si>
  <si>
    <t xml:space="preserve"> Hulha não aglutinante com um poder calorífico superior inferior a 17 435 kJ/kg (4 165 kcal/kg) e mais de 31 % de matéria volátil para um produto seco sem matérias minerais. O xisto betuminoso e as areias asfálticas produzidos e queimados directamente devem ser declarados nesta categoria. O xisto betuminoso e as areias asfálticas utilizados como entradas para outros processos de transformação devem igualmente ser declarados nesta categoria. Inclui-se a parte de xisto betuminoso ou de areias asfálticas consumida no processo de transformação. O óleo de xisto e outros produtos derivados da liquefacção devem ser declarados no questionário anual sobre o petróleo. </t>
  </si>
  <si>
    <t>Linhite preta</t>
  </si>
  <si>
    <t>Lubrificantes</t>
  </si>
  <si>
    <t>Hidrocarbonetos produzidos a partir de subprodutos da destilação; são utilizados principalmente para reduzir a fricção entre superfícies de apoio. Incluem todos os tipos acabados de óleos lubrificantes, desde óleo para engrenagens a óleo para cilindros, e os utilizados em massas lubrificantes, óleos de motor e todos os tipos de substâncias de base para óleos lubrificantes.</t>
  </si>
  <si>
    <t>Matérias-primas para refinarias</t>
  </si>
  <si>
    <t>Óleos transformados destinados a outra transformação nas refinarias (por exemplo, óleo combustível de destilação directa, também conhecido como óleo para gás a vácuo), excluindo as misturas. Com a transformação ulterior, será transformado em um ou mais componentes e/ou produtos acabados. Esta definição cobre igualmente os produtos devolvidos pela indústria petroquímica à indústria de refinação (por exemplo, gasolina de pirólise, fracções C4, fracções de fuelóleo e gasóleo).</t>
  </si>
  <si>
    <t xml:space="preserve">Nafta </t>
  </si>
  <si>
    <t>Despacho. Densidade:  https://www.ilo.org/dyn/icsc/showcard.display?p_lang=pt&amp;p_card_id=1380&amp;p_version=2</t>
  </si>
  <si>
    <r>
      <t>A nafta é uma matéria-prima destinada à indústria petroquímica (por exemplo, fabricação de etileno ou produção de compostos aromáticos) ou à produção de gasolina por reforma ou isomerização na refinaria. A nafta inclui o material que destila entre 30</t>
    </r>
    <r>
      <rPr>
        <vertAlign val="superscript"/>
        <sz val="10"/>
        <rFont val="Calibri"/>
        <family val="2"/>
        <scheme val="minor"/>
      </rPr>
      <t>o</t>
    </r>
    <r>
      <rPr>
        <sz val="10"/>
        <rFont val="Calibri"/>
        <family val="2"/>
        <scheme val="minor"/>
      </rPr>
      <t>C e 210</t>
    </r>
    <r>
      <rPr>
        <vertAlign val="superscript"/>
        <sz val="10"/>
        <rFont val="Calibri"/>
        <family val="2"/>
        <scheme val="minor"/>
      </rPr>
      <t>o</t>
    </r>
    <r>
      <rPr>
        <sz val="10"/>
        <rFont val="Calibri"/>
        <family val="2"/>
        <scheme val="minor"/>
      </rPr>
      <t>C ou parte desta faixa.</t>
    </r>
  </si>
  <si>
    <t>Óleo de Xisto</t>
  </si>
  <si>
    <t>Um óleo mineral extraído do xisto betuminoso.</t>
  </si>
  <si>
    <t>Óleos Usados</t>
  </si>
  <si>
    <t>Orimulsão</t>
  </si>
  <si>
    <t>Outros Carvões Betuminosos</t>
  </si>
  <si>
    <t>Petróleo Bruto</t>
  </si>
  <si>
    <t>Despacho n.º 17313/2008; Density: https://www.transmountain.com/about-petroleum-liquids#:~:text=Crude%20oil%20has%20historically%20been,per%20cent%20that%20of%20water).</t>
  </si>
  <si>
    <t>óleo mineral de origem natural composto por uma mistura de hidrocarbonetos e impurezas associadas, como o enxofre. Existe em fase líquida em condições normais de temperatura e pressão à superfície e as suas características físicas (densidade, viscosidade, etc.) são altamente variáveis. Esta categoria inclui os
condensados de campo ou de instalações extraídos dos gases associados e não associados, quando são misturados com o fluxo de petróleo bruto comercial.</t>
  </si>
  <si>
    <t>Querosene tipo Jet Fuel</t>
  </si>
  <si>
    <t>Despacho n.º 17313/2008; density: https://www.engineeringtoolbox.com/fuels-densities-specific-volumes-d_166.html</t>
  </si>
  <si>
    <r>
      <t>Destilado utilizado para unidades de turbinas de aviação. Tem as mesmas características de destilação, entre 150</t>
    </r>
    <r>
      <rPr>
        <vertAlign val="superscript"/>
        <sz val="10"/>
        <rFont val="Calibri"/>
        <family val="2"/>
        <scheme val="minor"/>
      </rPr>
      <t>o</t>
    </r>
    <r>
      <rPr>
        <sz val="10"/>
        <rFont val="Calibri"/>
        <family val="2"/>
        <scheme val="minor"/>
      </rPr>
      <t>C e 300</t>
    </r>
    <r>
      <rPr>
        <vertAlign val="superscript"/>
        <sz val="10"/>
        <rFont val="Calibri"/>
        <family val="2"/>
        <scheme val="minor"/>
      </rPr>
      <t>o</t>
    </r>
    <r>
      <rPr>
        <sz val="10"/>
        <rFont val="Calibri"/>
        <family val="2"/>
        <scheme val="minor"/>
      </rPr>
      <t>C (em geral, não acima de 250</t>
    </r>
    <r>
      <rPr>
        <vertAlign val="superscript"/>
        <sz val="10"/>
        <rFont val="Calibri"/>
        <family val="2"/>
        <scheme val="minor"/>
      </rPr>
      <t>o</t>
    </r>
    <r>
      <rPr>
        <sz val="10"/>
        <rFont val="Calibri"/>
        <family val="2"/>
        <scheme val="minor"/>
      </rPr>
      <t>C), e o mesmo ponto de inflamação que o querosene. Além disso, tem especificações particulares (como o ponto de congelação) que são estabelecidas pela Associação Internacional do Transporte Aéreo (IATA). Inclui os compostos para mistura com o querosene.</t>
    </r>
  </si>
  <si>
    <t>Resíduos municipais (fração não biodegradável)</t>
  </si>
  <si>
    <t>A fração não proveniente de biomassa dos resíduos urbanos inclui os resíduos produzidos pelos agregados familiares, pela indústria, pelos hospitais e pelo sector terciário, que são incinerados em instalações específicas e utilizados para fins energéticos. Apenas a fração do combustível que não é biodegradável deve ser incluída aqui.</t>
  </si>
  <si>
    <t>Xisto Betuminoso e Areias Betuminosas</t>
  </si>
  <si>
    <t>O xisto betuminoso é uma rocha inorgânica, não porosa, que contém várias quantidades de material orgânico sólido que produz hidrocarbonetos, juntamente com uma variedade de produtos sólidos, quando submetido a pirólise (um tratamento que consiste em aquecer a rocha a alta temperatura). As areias betuminosas referem-se a areias (ou rochas carbonatadas porosas) que se encontram naturalmente misturadas com uma forma viscosa de petróleo bruto pesado, por vezes designado por betume. Devido à sua elevada viscosidade, este petróleo não pode ser recuperado através de métodos de recuperação convencionais.</t>
  </si>
  <si>
    <t>Biodiesel</t>
  </si>
  <si>
    <t>Biodiesel é um éster metílico produzido a partir de óleo vegetal ou animal, com qualidade de gasóleo.</t>
  </si>
  <si>
    <t>Biogasolina</t>
  </si>
  <si>
    <t>A biogasolina deve conter apenas a parte do combustível relacionada com as quantidades de biocombustível e não com o volume total de líquidos em que os biocombustíveis são misturados. Esta categoria inclui o bioetanol (etanol produzido a partir de biomassa e/ou da fracção biodegradável de resíduos) e o biometanol (metanol produzido a partir de biomassa e/ou da fracção biodegradável de resíduos). bioETBE (éter etil-ter-butílico produzido com base no bioetanol) e bioMTBE (éter metil-ter-butílico produzido com base no biometanol).</t>
  </si>
  <si>
    <t>Carvão Vegetal</t>
  </si>
  <si>
    <t xml:space="preserve">O carvão vegetal utilizado como energia abrange o resíduo sólido da destilação destrutiva e da pirólise da madeira e de outras matérias vegetais. </t>
  </si>
  <si>
    <t>Gases de Lamas de Depuração</t>
  </si>
  <si>
    <t>O gás de lamas é derivado da fermentação anaeróbica de biomassa e resíduos sólidos de esgotos e lamas animais e é queimado para produzir calor e/ou eletricidade.</t>
  </si>
  <si>
    <t>Madeira, resíduos de madeira e outros resíduos sólidos</t>
  </si>
  <si>
    <t>Madeira e resíduos de madeira queimados diretamente para produção de energia. Esta categoria inclui também a madeira para a produção de carvão vegetal, mas não a produção efetiva de carvão vegetal (o que constituiria uma dupla contagem, uma vez que o carvão vegetal é um produto secundário).</t>
  </si>
  <si>
    <t>Outra Biomassa Primária Sólida</t>
  </si>
  <si>
    <t>Outros Biocombustíveis Líquidos</t>
  </si>
  <si>
    <t>Outros biocombustíveis líquidos não incluídos na biogasolina ou nos biodieseis.</t>
  </si>
  <si>
    <t>Resíduos Municipais (fração biodegradável)</t>
  </si>
  <si>
    <t>A fração de biomassa dos resíduos urbanos inclui os resíduos produzidos pelos agregados familiares, a indústria, os hospitais e o sector terciário que são incinerados em instalações específicas e utilizados para fins energéticos. Apenas a fração do combustível que é biodegradável deve ser incluída aqui.</t>
  </si>
  <si>
    <t>Turfa</t>
  </si>
  <si>
    <t xml:space="preserve"> Sedimento macio, poroso ou comprimido, combustível, de origem vegetal, com teor de água elevado (até 90 % no estado bruto), fácil de cortar, de cor castanha clara a escura. Não se inclui a turfa utilizada para fins não energéticos. A presente definição não prejudica a definição de fontes de energia renovável constante da Directiva 2001/77/CE e das directrizes IPCC para os inventários nacionais de gases com efeito de estufa (2006).</t>
  </si>
  <si>
    <t>Tabela. Fatores de emissão por frota e tipo de combustível (fonte: NIR 2022)</t>
  </si>
  <si>
    <t>Modo de transporte</t>
  </si>
  <si>
    <t>Tipo</t>
  </si>
  <si>
    <t>Fator emissão</t>
  </si>
  <si>
    <t>Utilização</t>
  </si>
  <si>
    <r>
      <t>CO</t>
    </r>
    <r>
      <rPr>
        <b/>
        <vertAlign val="subscript"/>
        <sz val="10"/>
        <color theme="0" tint="-4.9989318521683403E-2"/>
        <rFont val="Calibri"/>
        <family val="2"/>
        <scheme val="minor"/>
      </rPr>
      <t>2</t>
    </r>
  </si>
  <si>
    <r>
      <t>CH</t>
    </r>
    <r>
      <rPr>
        <b/>
        <vertAlign val="subscript"/>
        <sz val="10"/>
        <color theme="0" tint="-4.9989318521683403E-2"/>
        <rFont val="Calibri"/>
        <family val="2"/>
        <scheme val="minor"/>
      </rPr>
      <t>4</t>
    </r>
  </si>
  <si>
    <r>
      <t>N</t>
    </r>
    <r>
      <rPr>
        <b/>
        <vertAlign val="subscript"/>
        <sz val="10"/>
        <color theme="0" tint="-4.9989318521683403E-2"/>
        <rFont val="Calibri"/>
        <family val="2"/>
        <scheme val="minor"/>
      </rPr>
      <t>2</t>
    </r>
    <r>
      <rPr>
        <b/>
        <sz val="10"/>
        <color theme="0" tint="-4.9989318521683403E-2"/>
        <rFont val="Calibri"/>
        <family val="2"/>
        <scheme val="minor"/>
      </rPr>
      <t>O</t>
    </r>
  </si>
  <si>
    <t>unidades</t>
  </si>
  <si>
    <t>(passageiros)</t>
  </si>
  <si>
    <t>Autocarros e camionetas</t>
  </si>
  <si>
    <t>GNL</t>
  </si>
  <si>
    <t>Gasolina</t>
  </si>
  <si>
    <t>Híbrido</t>
  </si>
  <si>
    <t>GPL</t>
  </si>
  <si>
    <t>Tabela. Fatores de emissão por frota e tipo de combustível (Fonte GHG Protocol)</t>
  </si>
  <si>
    <t>Tipo de maquinaria</t>
  </si>
  <si>
    <t>Tipo de combustível</t>
  </si>
  <si>
    <t>Unidade</t>
  </si>
  <si>
    <t>Fator emissão - Diretas</t>
  </si>
  <si>
    <t>Maquinaria industrial</t>
  </si>
  <si>
    <t>Gasóleo / óleo diesel (fuelóleo destilado)</t>
  </si>
  <si>
    <t>m3</t>
  </si>
  <si>
    <t>Ano</t>
  </si>
  <si>
    <t>Fator
(tCO2 eq/MWh )</t>
  </si>
  <si>
    <t>D. Percentagem de renováveis no mix energético Português</t>
  </si>
  <si>
    <t>Fator
 (tCO2 eq/kWh )</t>
  </si>
  <si>
    <t>REGULAMENTO (UE) 2024/573 DO PARLAMENTO EUROPEU E DO CONSELHO de 7 de fevereiro de 2024 relativo aos gases fluorados com efeito de estufa, que altera a Diretiva (UE) 2019/1937 e que revoga o Regulamento (UE) n.o 517/2014</t>
  </si>
  <si>
    <t>Gás</t>
  </si>
  <si>
    <t>Família / Tipo</t>
  </si>
  <si>
    <r>
      <t xml:space="preserve">(AR5) PAG </t>
    </r>
    <r>
      <rPr>
        <b/>
        <vertAlign val="subscript"/>
        <sz val="12"/>
        <color theme="0" tint="-4.9989318521683403E-2"/>
        <rFont val="Calibri"/>
        <family val="2"/>
        <scheme val="minor"/>
      </rPr>
      <t>100 anos</t>
    </r>
  </si>
  <si>
    <r>
      <rPr>
        <b/>
        <sz val="10"/>
        <color theme="0"/>
        <rFont val="Calibri"/>
        <family val="1"/>
      </rPr>
      <t>Nome Comum</t>
    </r>
  </si>
  <si>
    <r>
      <rPr>
        <b/>
        <sz val="10"/>
        <color theme="0"/>
        <rFont val="Calibri"/>
        <family val="1"/>
      </rPr>
      <t>Nomes comuns de substâncias que constituem a mistura</t>
    </r>
  </si>
  <si>
    <r>
      <rPr>
        <b/>
        <sz val="10"/>
        <color theme="0"/>
        <rFont val="Calibri"/>
        <family val="1"/>
      </rPr>
      <t>Fórmula Química/ Detalhes</t>
    </r>
  </si>
  <si>
    <r>
      <rPr>
        <b/>
        <sz val="10"/>
        <color theme="0"/>
        <rFont val="Calibri"/>
        <family val="1"/>
      </rPr>
      <t>Designação Química</t>
    </r>
  </si>
  <si>
    <t>GWP (100 anos)</t>
  </si>
  <si>
    <r>
      <t>Metano (CH</t>
    </r>
    <r>
      <rPr>
        <vertAlign val="subscript"/>
        <sz val="11"/>
        <rFont val="Calibri"/>
        <family val="2"/>
        <scheme val="minor"/>
      </rPr>
      <t>4</t>
    </r>
    <r>
      <rPr>
        <sz val="11"/>
        <rFont val="Calibri"/>
        <family val="2"/>
        <scheme val="minor"/>
      </rPr>
      <t>)</t>
    </r>
  </si>
  <si>
    <t>CO2</t>
  </si>
  <si>
    <t>Dióxido de Carbono</t>
  </si>
  <si>
    <r>
      <t>Óxido nitroso (N</t>
    </r>
    <r>
      <rPr>
        <vertAlign val="subscript"/>
        <sz val="11"/>
        <rFont val="Calibri"/>
        <family val="2"/>
        <scheme val="minor"/>
      </rPr>
      <t>2</t>
    </r>
    <r>
      <rPr>
        <sz val="11"/>
        <rFont val="Calibri"/>
        <family val="2"/>
        <scheme val="minor"/>
      </rPr>
      <t>O)</t>
    </r>
  </si>
  <si>
    <t>CH4</t>
  </si>
  <si>
    <t>Metano</t>
  </si>
  <si>
    <r>
      <t>Hexafluoreto de enxofre (SF</t>
    </r>
    <r>
      <rPr>
        <vertAlign val="subscript"/>
        <sz val="11"/>
        <rFont val="Calibri"/>
        <family val="2"/>
        <scheme val="minor"/>
      </rPr>
      <t>6</t>
    </r>
    <r>
      <rPr>
        <sz val="11"/>
        <rFont val="Calibri"/>
        <family val="2"/>
        <scheme val="minor"/>
      </rPr>
      <t>)</t>
    </r>
  </si>
  <si>
    <t>N2O</t>
  </si>
  <si>
    <t>Óxido nitroso</t>
  </si>
  <si>
    <r>
      <t>Trifluoreto de azoto (NF</t>
    </r>
    <r>
      <rPr>
        <vertAlign val="subscript"/>
        <sz val="11"/>
        <rFont val="Calibri"/>
        <family val="2"/>
        <scheme val="minor"/>
      </rPr>
      <t>3</t>
    </r>
    <r>
      <rPr>
        <sz val="11"/>
        <rFont val="Calibri"/>
        <family val="2"/>
        <scheme val="minor"/>
      </rPr>
      <t>)</t>
    </r>
  </si>
  <si>
    <t>NF3</t>
  </si>
  <si>
    <t>Trifluoreto de azoto (NF3)</t>
  </si>
  <si>
    <r>
      <t>Dióxido de carbono (CO</t>
    </r>
    <r>
      <rPr>
        <vertAlign val="subscript"/>
        <sz val="11"/>
        <rFont val="Calibri"/>
        <family val="2"/>
        <scheme val="minor"/>
      </rPr>
      <t>2</t>
    </r>
    <r>
      <rPr>
        <sz val="11"/>
        <rFont val="Calibri"/>
        <family val="2"/>
        <scheme val="minor"/>
      </rPr>
      <t>)</t>
    </r>
  </si>
  <si>
    <t>Hexafluoreto de Enxofre</t>
  </si>
  <si>
    <r>
      <rPr>
        <sz val="10"/>
        <rFont val="Calibri"/>
        <family val="1"/>
      </rPr>
      <t>SF</t>
    </r>
    <r>
      <rPr>
        <vertAlign val="subscript"/>
        <sz val="10"/>
        <rFont val="Calibri"/>
        <family val="1"/>
      </rPr>
      <t>6</t>
    </r>
  </si>
  <si>
    <t>HFC-23</t>
  </si>
  <si>
    <t>HFC</t>
  </si>
  <si>
    <t>R-11</t>
  </si>
  <si>
    <t>CCl3F</t>
  </si>
  <si>
    <t>HFC-32</t>
  </si>
  <si>
    <t>R-12</t>
  </si>
  <si>
    <t>CCl2F2</t>
  </si>
  <si>
    <t>HFC-41</t>
  </si>
  <si>
    <t>CClF3</t>
  </si>
  <si>
    <t>HFC-125</t>
  </si>
  <si>
    <t>R-112</t>
  </si>
  <si>
    <t>CCl2FCCl2F</t>
  </si>
  <si>
    <t>HFC-134</t>
  </si>
  <si>
    <t>R-112a</t>
  </si>
  <si>
    <t>CCl3CClF2</t>
  </si>
  <si>
    <t>HFC-134a</t>
  </si>
  <si>
    <t>R-113</t>
  </si>
  <si>
    <t>CCl2FCClF2</t>
  </si>
  <si>
    <t>HFC-143</t>
  </si>
  <si>
    <t>R-113A</t>
  </si>
  <si>
    <t>CCl3CF3</t>
  </si>
  <si>
    <t>HFC-143a</t>
  </si>
  <si>
    <t>R-114</t>
  </si>
  <si>
    <t>CClF2CClF2</t>
  </si>
  <si>
    <t>HFC-152</t>
  </si>
  <si>
    <t>R-114a</t>
  </si>
  <si>
    <t>CCl2FCF3</t>
  </si>
  <si>
    <t>HFC-152a</t>
  </si>
  <si>
    <t>R-115</t>
  </si>
  <si>
    <t>CClF2CF3</t>
  </si>
  <si>
    <t>HFC-161</t>
  </si>
  <si>
    <t>R-121</t>
  </si>
  <si>
    <t>CHCl2CCl2F</t>
  </si>
  <si>
    <t>HFC-227ea</t>
  </si>
  <si>
    <t>R-122</t>
  </si>
  <si>
    <t>CHCl2CClF2</t>
  </si>
  <si>
    <t>HFC-236cb</t>
  </si>
  <si>
    <t>R-122a</t>
  </si>
  <si>
    <t>CHClFCCl2F</t>
  </si>
  <si>
    <t>HFC-236ea</t>
  </si>
  <si>
    <t>R-123</t>
  </si>
  <si>
    <t>CHCl2CF3</t>
  </si>
  <si>
    <t>HFC-236fa</t>
  </si>
  <si>
    <t>R-123a</t>
  </si>
  <si>
    <t>CHClFCClF2</t>
  </si>
  <si>
    <t>HFC-245ca</t>
  </si>
  <si>
    <t>R-1233zd(E)</t>
  </si>
  <si>
    <t>(E)-CF3CH=CHCl</t>
  </si>
  <si>
    <t>HFC-245fa</t>
  </si>
  <si>
    <t>R-1233zd(Z)</t>
  </si>
  <si>
    <t>(Z)-CF3CH=CHCl</t>
  </si>
  <si>
    <t>HFC-365mfc</t>
  </si>
  <si>
    <t>R-1234yf</t>
  </si>
  <si>
    <t>CF3CF=CH2</t>
  </si>
  <si>
    <t>HFC-43-10mee</t>
  </si>
  <si>
    <t>R-124</t>
  </si>
  <si>
    <t>CHClFCF3</t>
  </si>
  <si>
    <t>PFC-14</t>
  </si>
  <si>
    <t>PFC</t>
  </si>
  <si>
    <t>R-124a</t>
  </si>
  <si>
    <t>CHF2CClF2</t>
  </si>
  <si>
    <t>PFC-116</t>
  </si>
  <si>
    <t>R-125</t>
  </si>
  <si>
    <r>
      <rPr>
        <sz val="10"/>
        <rFont val="Calibri"/>
        <family val="1"/>
      </rPr>
      <t>R-125</t>
    </r>
  </si>
  <si>
    <r>
      <t>C</t>
    </r>
    <r>
      <rPr>
        <vertAlign val="subscript"/>
        <sz val="10"/>
        <rFont val="Calibri"/>
        <family val="1"/>
      </rPr>
      <t>2</t>
    </r>
    <r>
      <rPr>
        <sz val="10"/>
        <rFont val="Calibri"/>
        <family val="1"/>
      </rPr>
      <t>HF</t>
    </r>
    <r>
      <rPr>
        <vertAlign val="subscript"/>
        <sz val="10"/>
        <rFont val="Calibri"/>
        <family val="1"/>
      </rPr>
      <t>5</t>
    </r>
  </si>
  <si>
    <r>
      <rPr>
        <sz val="10"/>
        <rFont val="Calibri"/>
        <family val="1"/>
      </rPr>
      <t>Pentafluoroetano</t>
    </r>
  </si>
  <si>
    <t>PFC-218</t>
  </si>
  <si>
    <t>R-132</t>
  </si>
  <si>
    <t>CHClFCHClF</t>
  </si>
  <si>
    <t>PFC-318</t>
  </si>
  <si>
    <t>R-132a</t>
  </si>
  <si>
    <t>CHCl2CHF2</t>
  </si>
  <si>
    <t>PFC-3-1-10</t>
  </si>
  <si>
    <t>R-132c</t>
  </si>
  <si>
    <t>CH2FCCl2F</t>
  </si>
  <si>
    <t>PFC-4-1-12</t>
  </si>
  <si>
    <t>R-133a</t>
  </si>
  <si>
    <t>CH2ClCF3</t>
  </si>
  <si>
    <t>PFC-5-1-14</t>
  </si>
  <si>
    <r>
      <rPr>
        <sz val="10"/>
        <rFont val="Calibri"/>
        <family val="1"/>
      </rPr>
      <t>R-134</t>
    </r>
  </si>
  <si>
    <r>
      <t>C</t>
    </r>
    <r>
      <rPr>
        <vertAlign val="subscript"/>
        <sz val="10"/>
        <rFont val="Calibri"/>
        <family val="1"/>
      </rPr>
      <t>2</t>
    </r>
    <r>
      <rPr>
        <sz val="10"/>
        <rFont val="Calibri"/>
        <family val="1"/>
      </rPr>
      <t>H</t>
    </r>
    <r>
      <rPr>
        <vertAlign val="subscript"/>
        <sz val="10"/>
        <rFont val="Calibri"/>
        <family val="1"/>
      </rPr>
      <t>2</t>
    </r>
    <r>
      <rPr>
        <sz val="10"/>
        <rFont val="Calibri"/>
        <family val="1"/>
      </rPr>
      <t>F</t>
    </r>
    <r>
      <rPr>
        <vertAlign val="subscript"/>
        <sz val="10"/>
        <rFont val="Calibri"/>
        <family val="1"/>
      </rPr>
      <t>4</t>
    </r>
  </si>
  <si>
    <t>1,1,2,2-Tetrafluoroetano</t>
  </si>
  <si>
    <t>PFC-9-1-18</t>
  </si>
  <si>
    <r>
      <rPr>
        <sz val="10"/>
        <rFont val="Calibri"/>
        <family val="1"/>
      </rPr>
      <t>R-134a</t>
    </r>
  </si>
  <si>
    <r>
      <t>CH</t>
    </r>
    <r>
      <rPr>
        <vertAlign val="subscript"/>
        <sz val="10"/>
        <rFont val="Calibri"/>
        <family val="1"/>
      </rPr>
      <t>2</t>
    </r>
    <r>
      <rPr>
        <sz val="10"/>
        <rFont val="Calibri"/>
        <family val="1"/>
      </rPr>
      <t>FCF</t>
    </r>
    <r>
      <rPr>
        <vertAlign val="subscript"/>
        <sz val="10"/>
        <rFont val="Calibri"/>
        <family val="1"/>
      </rPr>
      <t>3</t>
    </r>
  </si>
  <si>
    <t>1,1,1,2-Tetrafluoroetano</t>
  </si>
  <si>
    <r>
      <t>Trifluorometil pentafluoreto de enxofre (SF</t>
    </r>
    <r>
      <rPr>
        <vertAlign val="subscript"/>
        <sz val="11"/>
        <rFont val="Calibri"/>
        <family val="2"/>
        <scheme val="minor"/>
      </rPr>
      <t>5</t>
    </r>
    <r>
      <rPr>
        <sz val="11"/>
        <rFont val="Calibri"/>
        <family val="2"/>
        <scheme val="minor"/>
      </rPr>
      <t>CF</t>
    </r>
    <r>
      <rPr>
        <vertAlign val="subscript"/>
        <sz val="11"/>
        <rFont val="Calibri"/>
        <family val="2"/>
        <scheme val="minor"/>
      </rPr>
      <t>3</t>
    </r>
    <r>
      <rPr>
        <sz val="11"/>
        <rFont val="Calibri"/>
        <family val="2"/>
        <scheme val="minor"/>
      </rPr>
      <t>)</t>
    </r>
  </si>
  <si>
    <t>R-141</t>
  </si>
  <si>
    <t>CH2ClCHClF</t>
  </si>
  <si>
    <r>
      <t>Perfluorociclopropano (c-C</t>
    </r>
    <r>
      <rPr>
        <vertAlign val="subscript"/>
        <sz val="11"/>
        <rFont val="Calibri"/>
        <family val="2"/>
        <scheme val="minor"/>
      </rPr>
      <t>3</t>
    </r>
    <r>
      <rPr>
        <sz val="11"/>
        <rFont val="Calibri"/>
        <family val="2"/>
        <scheme val="minor"/>
      </rPr>
      <t>F</t>
    </r>
    <r>
      <rPr>
        <vertAlign val="subscript"/>
        <sz val="11"/>
        <rFont val="Calibri"/>
        <family val="2"/>
        <scheme val="minor"/>
      </rPr>
      <t>6</t>
    </r>
    <r>
      <rPr>
        <sz val="11"/>
        <rFont val="Calibri"/>
        <family val="2"/>
        <scheme val="minor"/>
      </rPr>
      <t>)</t>
    </r>
  </si>
  <si>
    <t>R-141b</t>
  </si>
  <si>
    <t>CH3CCl2F</t>
  </si>
  <si>
    <t>R-400</t>
  </si>
  <si>
    <t>Composto</t>
  </si>
  <si>
    <t>R-142b</t>
  </si>
  <si>
    <t>CH3CClF2</t>
  </si>
  <si>
    <t>R-401A</t>
  </si>
  <si>
    <r>
      <rPr>
        <sz val="10"/>
        <rFont val="Calibri"/>
        <family val="1"/>
      </rPr>
      <t>R-143</t>
    </r>
  </si>
  <si>
    <r>
      <rPr>
        <sz val="10"/>
        <rFont val="Calibri"/>
        <family val="1"/>
      </rPr>
      <t>C</t>
    </r>
    <r>
      <rPr>
        <vertAlign val="subscript"/>
        <sz val="10"/>
        <rFont val="Calibri"/>
        <family val="1"/>
      </rPr>
      <t>2</t>
    </r>
    <r>
      <rPr>
        <sz val="10"/>
        <rFont val="Calibri"/>
        <family val="1"/>
      </rPr>
      <t>H</t>
    </r>
    <r>
      <rPr>
        <vertAlign val="subscript"/>
        <sz val="10"/>
        <rFont val="Calibri"/>
        <family val="1"/>
      </rPr>
      <t>3</t>
    </r>
    <r>
      <rPr>
        <sz val="10"/>
        <rFont val="Calibri"/>
        <family val="1"/>
      </rPr>
      <t>F</t>
    </r>
    <r>
      <rPr>
        <vertAlign val="subscript"/>
        <sz val="10"/>
        <rFont val="Calibri"/>
        <family val="1"/>
      </rPr>
      <t>3</t>
    </r>
  </si>
  <si>
    <t>1,1,2-Trifluoroetano</t>
  </si>
  <si>
    <t>R-401B</t>
  </si>
  <si>
    <r>
      <rPr>
        <sz val="10"/>
        <rFont val="Calibri"/>
        <family val="1"/>
      </rPr>
      <t>R-143a</t>
    </r>
  </si>
  <si>
    <t>1,1,1-Trifluoroetano</t>
  </si>
  <si>
    <t>R-401C</t>
  </si>
  <si>
    <r>
      <rPr>
        <sz val="10"/>
        <rFont val="Calibri"/>
        <family val="1"/>
      </rPr>
      <t>R-152</t>
    </r>
  </si>
  <si>
    <r>
      <rPr>
        <sz val="10"/>
        <rFont val="Calibri"/>
        <family val="1"/>
      </rPr>
      <t>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</si>
  <si>
    <t>1,2-Difluoretano</t>
  </si>
  <si>
    <t>R-402A</t>
  </si>
  <si>
    <r>
      <rPr>
        <sz val="10"/>
        <rFont val="Calibri"/>
        <family val="1"/>
      </rPr>
      <t>R-152a</t>
    </r>
  </si>
  <si>
    <t>1,1-Difluoroetano</t>
  </si>
  <si>
    <t>R-402B</t>
  </si>
  <si>
    <r>
      <rPr>
        <sz val="10"/>
        <rFont val="Calibri"/>
        <family val="1"/>
      </rPr>
      <t>R-161</t>
    </r>
  </si>
  <si>
    <r>
      <rPr>
        <sz val="10"/>
        <rFont val="Calibri"/>
        <family val="1"/>
      </rPr>
      <t>CH</t>
    </r>
    <r>
      <rPr>
        <vertAlign val="subscript"/>
        <sz val="10"/>
        <rFont val="Calibri"/>
        <family val="1"/>
      </rPr>
      <t>3</t>
    </r>
    <r>
      <rPr>
        <sz val="10"/>
        <rFont val="Calibri"/>
        <family val="1"/>
      </rPr>
      <t>CH</t>
    </r>
    <r>
      <rPr>
        <vertAlign val="subscript"/>
        <sz val="10"/>
        <rFont val="Calibri"/>
        <family val="1"/>
      </rPr>
      <t>2</t>
    </r>
    <r>
      <rPr>
        <sz val="10"/>
        <rFont val="Calibri"/>
        <family val="1"/>
      </rPr>
      <t>F</t>
    </r>
  </si>
  <si>
    <t>Fluoroetano</t>
  </si>
  <si>
    <t>R-403A</t>
  </si>
  <si>
    <t>R-21</t>
  </si>
  <si>
    <r>
      <rPr>
        <vertAlign val="superscript"/>
        <sz val="9"/>
        <color rgb="FF585858"/>
        <rFont val="Tahoma"/>
        <family val="2"/>
      </rPr>
      <t>CHCl</t>
    </r>
    <r>
      <rPr>
        <sz val="6"/>
        <color rgb="FF585858"/>
        <rFont val="Tahoma"/>
        <family val="2"/>
      </rPr>
      <t>2</t>
    </r>
    <r>
      <rPr>
        <vertAlign val="superscript"/>
        <sz val="9"/>
        <color rgb="FF585858"/>
        <rFont val="Tahoma"/>
        <family val="2"/>
      </rPr>
      <t>F</t>
    </r>
  </si>
  <si>
    <t>R-403B</t>
  </si>
  <si>
    <t>R-22</t>
  </si>
  <si>
    <r>
      <rPr>
        <vertAlign val="superscript"/>
        <sz val="9"/>
        <color rgb="FF585858"/>
        <rFont val="Tahoma"/>
        <family val="2"/>
      </rPr>
      <t>CHClF</t>
    </r>
    <r>
      <rPr>
        <sz val="6"/>
        <color rgb="FF585858"/>
        <rFont val="Tahoma"/>
        <family val="2"/>
      </rPr>
      <t>2</t>
    </r>
  </si>
  <si>
    <t>R-404A</t>
  </si>
  <si>
    <t>R-225ca</t>
  </si>
  <si>
    <t>CHCl2CF2CF3</t>
  </si>
  <si>
    <t>R-406A</t>
  </si>
  <si>
    <t>R-225cb</t>
  </si>
  <si>
    <t>CHClFCF2CClF2</t>
  </si>
  <si>
    <t>R-407A</t>
  </si>
  <si>
    <t>R-227ca</t>
  </si>
  <si>
    <r>
      <rPr>
        <vertAlign val="superscript"/>
        <sz val="9"/>
        <color rgb="FF585858"/>
        <rFont val="Tahoma"/>
        <family val="2"/>
      </rPr>
      <t>CF</t>
    </r>
    <r>
      <rPr>
        <sz val="6"/>
        <color rgb="FF585858"/>
        <rFont val="Tahoma"/>
        <family val="2"/>
      </rPr>
      <t>3</t>
    </r>
    <r>
      <rPr>
        <vertAlign val="superscript"/>
        <sz val="9"/>
        <color rgb="FF585858"/>
        <rFont val="Tahoma"/>
        <family val="2"/>
      </rPr>
      <t>CF</t>
    </r>
    <r>
      <rPr>
        <sz val="6"/>
        <color rgb="FF585858"/>
        <rFont val="Tahoma"/>
        <family val="2"/>
      </rPr>
      <t>2</t>
    </r>
    <r>
      <rPr>
        <vertAlign val="superscript"/>
        <sz val="9"/>
        <color rgb="FF585858"/>
        <rFont val="Tahoma"/>
        <family val="2"/>
      </rPr>
      <t>CHF</t>
    </r>
    <r>
      <rPr>
        <sz val="6"/>
        <color rgb="FF585858"/>
        <rFont val="Tahoma"/>
        <family val="2"/>
      </rPr>
      <t>2</t>
    </r>
  </si>
  <si>
    <t>R-407B</t>
  </si>
  <si>
    <r>
      <rPr>
        <sz val="10"/>
        <rFont val="Calibri"/>
        <family val="1"/>
      </rPr>
      <t>R-227ea (FM- 200)</t>
    </r>
  </si>
  <si>
    <r>
      <rPr>
        <sz val="10"/>
        <rFont val="Calibri"/>
        <family val="1"/>
      </rPr>
      <t>R-227ea</t>
    </r>
  </si>
  <si>
    <r>
      <rPr>
        <sz val="10"/>
        <rFont val="Calibri"/>
        <family val="1"/>
      </rPr>
      <t>C</t>
    </r>
    <r>
      <rPr>
        <vertAlign val="subscript"/>
        <sz val="10"/>
        <rFont val="Calibri"/>
        <family val="1"/>
      </rPr>
      <t>3</t>
    </r>
    <r>
      <rPr>
        <sz val="10"/>
        <rFont val="Calibri"/>
        <family val="1"/>
      </rPr>
      <t>HF</t>
    </r>
    <r>
      <rPr>
        <vertAlign val="subscript"/>
        <sz val="10"/>
        <rFont val="Calibri"/>
        <family val="1"/>
      </rPr>
      <t>7</t>
    </r>
  </si>
  <si>
    <t>1,1,1,2,3,3,3-Heptafluoropropano</t>
  </si>
  <si>
    <t>R-407C</t>
  </si>
  <si>
    <t>R-23</t>
  </si>
  <si>
    <t>R23</t>
  </si>
  <si>
    <t>CHF3</t>
  </si>
  <si>
    <t>R-407D</t>
  </si>
  <si>
    <r>
      <rPr>
        <sz val="10"/>
        <rFont val="Calibri"/>
        <family val="1"/>
      </rPr>
      <t>R-236cb</t>
    </r>
  </si>
  <si>
    <r>
      <rPr>
        <sz val="10"/>
        <rFont val="Calibri"/>
        <family val="1"/>
      </rPr>
      <t>CH</t>
    </r>
    <r>
      <rPr>
        <vertAlign val="subscript"/>
        <sz val="10"/>
        <rFont val="Calibri"/>
        <family val="1"/>
      </rPr>
      <t>2</t>
    </r>
    <r>
      <rPr>
        <sz val="10"/>
        <rFont val="Calibri"/>
        <family val="1"/>
      </rPr>
      <t>FCF</t>
    </r>
    <r>
      <rPr>
        <vertAlign val="subscript"/>
        <sz val="10"/>
        <rFont val="Calibri"/>
        <family val="1"/>
      </rPr>
      <t>2</t>
    </r>
    <r>
      <rPr>
        <sz val="10"/>
        <rFont val="Calibri"/>
        <family val="1"/>
      </rPr>
      <t>CF</t>
    </r>
    <r>
      <rPr>
        <vertAlign val="subscript"/>
        <sz val="10"/>
        <rFont val="Calibri"/>
        <family val="1"/>
      </rPr>
      <t>3</t>
    </r>
  </si>
  <si>
    <t>1,1,1,2,2,3-Hexafluoropropano</t>
  </si>
  <si>
    <t>R-407E</t>
  </si>
  <si>
    <r>
      <rPr>
        <sz val="10"/>
        <rFont val="Calibri"/>
        <family val="1"/>
      </rPr>
      <t>R-236ea</t>
    </r>
  </si>
  <si>
    <r>
      <rPr>
        <sz val="10"/>
        <rFont val="Calibri"/>
        <family val="1"/>
      </rPr>
      <t>CHF</t>
    </r>
    <r>
      <rPr>
        <vertAlign val="subscript"/>
        <sz val="10"/>
        <rFont val="Calibri"/>
        <family val="1"/>
      </rPr>
      <t>2</t>
    </r>
    <r>
      <rPr>
        <sz val="10"/>
        <rFont val="Calibri"/>
        <family val="1"/>
      </rPr>
      <t>CHFCF</t>
    </r>
    <r>
      <rPr>
        <vertAlign val="subscript"/>
        <sz val="10"/>
        <rFont val="Calibri"/>
        <family val="1"/>
      </rPr>
      <t>3</t>
    </r>
  </si>
  <si>
    <t>1,1,1,2,3,3-Hexafluoropropano</t>
  </si>
  <si>
    <t>R-407F</t>
  </si>
  <si>
    <r>
      <rPr>
        <sz val="10"/>
        <rFont val="Calibri"/>
        <family val="1"/>
      </rPr>
      <t>R-236fa</t>
    </r>
  </si>
  <si>
    <r>
      <rPr>
        <sz val="10"/>
        <rFont val="Calibri"/>
        <family val="1"/>
      </rPr>
      <t>C</t>
    </r>
    <r>
      <rPr>
        <vertAlign val="subscript"/>
        <sz val="10"/>
        <rFont val="Calibri"/>
        <family val="1"/>
      </rPr>
      <t>3</t>
    </r>
    <r>
      <rPr>
        <sz val="10"/>
        <rFont val="Calibri"/>
        <family val="1"/>
      </rPr>
      <t>H</t>
    </r>
    <r>
      <rPr>
        <vertAlign val="subscript"/>
        <sz val="10"/>
        <rFont val="Calibri"/>
        <family val="1"/>
      </rPr>
      <t>2</t>
    </r>
    <r>
      <rPr>
        <sz val="10"/>
        <rFont val="Calibri"/>
        <family val="1"/>
      </rPr>
      <t>F</t>
    </r>
    <r>
      <rPr>
        <vertAlign val="subscript"/>
        <sz val="10"/>
        <rFont val="Calibri"/>
        <family val="1"/>
      </rPr>
      <t>6</t>
    </r>
  </si>
  <si>
    <t>1,1,1,3,3,3-Hexafluoropropano</t>
  </si>
  <si>
    <t>R-408A</t>
  </si>
  <si>
    <r>
      <rPr>
        <sz val="10"/>
        <rFont val="Calibri"/>
        <family val="1"/>
      </rPr>
      <t>R-245ca</t>
    </r>
  </si>
  <si>
    <r>
      <rPr>
        <sz val="10"/>
        <rFont val="Calibri"/>
        <family val="1"/>
      </rPr>
      <t>C</t>
    </r>
    <r>
      <rPr>
        <vertAlign val="subscript"/>
        <sz val="10"/>
        <rFont val="Calibri"/>
        <family val="1"/>
      </rPr>
      <t>3</t>
    </r>
    <r>
      <rPr>
        <sz val="10"/>
        <rFont val="Calibri"/>
        <family val="1"/>
      </rPr>
      <t>H</t>
    </r>
    <r>
      <rPr>
        <vertAlign val="subscript"/>
        <sz val="10"/>
        <rFont val="Calibri"/>
        <family val="1"/>
      </rPr>
      <t>3</t>
    </r>
    <r>
      <rPr>
        <sz val="10"/>
        <rFont val="Calibri"/>
        <family val="1"/>
      </rPr>
      <t>F</t>
    </r>
    <r>
      <rPr>
        <vertAlign val="subscript"/>
        <sz val="10"/>
        <rFont val="Calibri"/>
        <family val="1"/>
      </rPr>
      <t>5</t>
    </r>
  </si>
  <si>
    <t>1,1,2,2,3-Pentafluoropropano</t>
  </si>
  <si>
    <t>R-409A</t>
  </si>
  <si>
    <t>R-245cb</t>
  </si>
  <si>
    <r>
      <rPr>
        <vertAlign val="superscript"/>
        <sz val="9"/>
        <color rgb="FF585858"/>
        <rFont val="Tahoma"/>
        <family val="2"/>
      </rPr>
      <t>CF</t>
    </r>
    <r>
      <rPr>
        <sz val="6"/>
        <color rgb="FF585858"/>
        <rFont val="Tahoma"/>
        <family val="2"/>
      </rPr>
      <t>3</t>
    </r>
    <r>
      <rPr>
        <vertAlign val="superscript"/>
        <sz val="9"/>
        <color rgb="FF585858"/>
        <rFont val="Tahoma"/>
        <family val="2"/>
      </rPr>
      <t>CF</t>
    </r>
    <r>
      <rPr>
        <sz val="6"/>
        <color rgb="FF585858"/>
        <rFont val="Tahoma"/>
        <family val="2"/>
      </rPr>
      <t>2</t>
    </r>
    <r>
      <rPr>
        <vertAlign val="superscript"/>
        <sz val="9"/>
        <color rgb="FF585858"/>
        <rFont val="Tahoma"/>
        <family val="2"/>
      </rPr>
      <t>CH</t>
    </r>
    <r>
      <rPr>
        <sz val="6"/>
        <color rgb="FF585858"/>
        <rFont val="Tahoma"/>
        <family val="2"/>
      </rPr>
      <t>3</t>
    </r>
  </si>
  <si>
    <t>R-409B</t>
  </si>
  <si>
    <t>R-245ea</t>
  </si>
  <si>
    <r>
      <rPr>
        <vertAlign val="superscript"/>
        <sz val="9"/>
        <color rgb="FF585858"/>
        <rFont val="Tahoma"/>
        <family val="2"/>
      </rPr>
      <t>CHF</t>
    </r>
    <r>
      <rPr>
        <sz val="6"/>
        <color rgb="FF585858"/>
        <rFont val="Tahoma"/>
        <family val="2"/>
      </rPr>
      <t>2</t>
    </r>
    <r>
      <rPr>
        <vertAlign val="superscript"/>
        <sz val="9"/>
        <color rgb="FF585858"/>
        <rFont val="Tahoma"/>
        <family val="2"/>
      </rPr>
      <t>CHFCHF</t>
    </r>
    <r>
      <rPr>
        <sz val="6"/>
        <color rgb="FF585858"/>
        <rFont val="Tahoma"/>
        <family val="2"/>
      </rPr>
      <t>2</t>
    </r>
  </si>
  <si>
    <t>R-410A</t>
  </si>
  <si>
    <t>R-245eb</t>
  </si>
  <si>
    <r>
      <rPr>
        <vertAlign val="superscript"/>
        <sz val="9"/>
        <color rgb="FF585858"/>
        <rFont val="Tahoma"/>
        <family val="2"/>
      </rPr>
      <t>CH</t>
    </r>
    <r>
      <rPr>
        <sz val="6"/>
        <color rgb="FF585858"/>
        <rFont val="Tahoma"/>
        <family val="2"/>
      </rPr>
      <t>2</t>
    </r>
    <r>
      <rPr>
        <vertAlign val="superscript"/>
        <sz val="9"/>
        <color rgb="FF585858"/>
        <rFont val="Tahoma"/>
        <family val="2"/>
      </rPr>
      <t>FCHFCF</t>
    </r>
    <r>
      <rPr>
        <sz val="6"/>
        <color rgb="FF585858"/>
        <rFont val="Tahoma"/>
        <family val="2"/>
      </rPr>
      <t>3</t>
    </r>
  </si>
  <si>
    <t>R-410B</t>
  </si>
  <si>
    <r>
      <rPr>
        <sz val="10"/>
        <rFont val="Calibri"/>
        <family val="1"/>
      </rPr>
      <t>R-245fa</t>
    </r>
  </si>
  <si>
    <r>
      <rPr>
        <sz val="10"/>
        <rFont val="Calibri"/>
        <family val="1"/>
      </rPr>
      <t>CHF</t>
    </r>
    <r>
      <rPr>
        <vertAlign val="subscript"/>
        <sz val="10"/>
        <rFont val="Calibri"/>
        <family val="1"/>
      </rPr>
      <t>2</t>
    </r>
    <r>
      <rPr>
        <sz val="10"/>
        <rFont val="Calibri"/>
        <family val="1"/>
      </rPr>
      <t>CH</t>
    </r>
    <r>
      <rPr>
        <vertAlign val="subscript"/>
        <sz val="10"/>
        <rFont val="Calibri"/>
        <family val="1"/>
      </rPr>
      <t>2</t>
    </r>
    <r>
      <rPr>
        <sz val="10"/>
        <rFont val="Calibri"/>
        <family val="1"/>
      </rPr>
      <t>CF</t>
    </r>
    <r>
      <rPr>
        <vertAlign val="subscript"/>
        <sz val="10"/>
        <rFont val="Calibri"/>
        <family val="1"/>
      </rPr>
      <t>3</t>
    </r>
  </si>
  <si>
    <t>1,1,1,3,3-Pentafluoropropano</t>
  </si>
  <si>
    <t>R-411A</t>
  </si>
  <si>
    <t>R-31</t>
  </si>
  <si>
    <t>CH2ClF</t>
  </si>
  <si>
    <t>R-411B</t>
  </si>
  <si>
    <r>
      <rPr>
        <sz val="10"/>
        <rFont val="Calibri"/>
        <family val="1"/>
      </rPr>
      <t>R-32</t>
    </r>
  </si>
  <si>
    <r>
      <rPr>
        <sz val="10"/>
        <rFont val="Calibri"/>
        <family val="1"/>
      </rPr>
      <t>CH</t>
    </r>
    <r>
      <rPr>
        <vertAlign val="subscript"/>
        <sz val="10"/>
        <rFont val="Calibri"/>
        <family val="1"/>
      </rPr>
      <t>2</t>
    </r>
    <r>
      <rPr>
        <sz val="10"/>
        <rFont val="Calibri"/>
        <family val="1"/>
      </rPr>
      <t>F</t>
    </r>
    <r>
      <rPr>
        <vertAlign val="subscript"/>
        <sz val="10"/>
        <rFont val="Calibri"/>
        <family val="1"/>
      </rPr>
      <t>2</t>
    </r>
  </si>
  <si>
    <t>Difluorometano</t>
  </si>
  <si>
    <t>R-412A</t>
  </si>
  <si>
    <r>
      <rPr>
        <sz val="10"/>
        <rFont val="Calibri"/>
        <family val="1"/>
      </rPr>
      <t>R-365mfc</t>
    </r>
  </si>
  <si>
    <r>
      <rPr>
        <sz val="10"/>
        <rFont val="Calibri"/>
        <family val="1"/>
      </rPr>
      <t>CF</t>
    </r>
    <r>
      <rPr>
        <vertAlign val="subscript"/>
        <sz val="10"/>
        <rFont val="Calibri"/>
        <family val="1"/>
      </rPr>
      <t>3</t>
    </r>
    <r>
      <rPr>
        <sz val="10"/>
        <rFont val="Calibri"/>
        <family val="1"/>
      </rPr>
      <t>CH</t>
    </r>
    <r>
      <rPr>
        <vertAlign val="subscript"/>
        <sz val="10"/>
        <rFont val="Calibri"/>
        <family val="1"/>
      </rPr>
      <t>2</t>
    </r>
    <r>
      <rPr>
        <sz val="10"/>
        <rFont val="Calibri"/>
        <family val="1"/>
      </rPr>
      <t>CF</t>
    </r>
    <r>
      <rPr>
        <vertAlign val="subscript"/>
        <sz val="10"/>
        <rFont val="Calibri"/>
        <family val="1"/>
      </rPr>
      <t>2</t>
    </r>
    <r>
      <rPr>
        <sz val="10"/>
        <rFont val="Calibri"/>
        <family val="1"/>
      </rPr>
      <t>CH</t>
    </r>
    <r>
      <rPr>
        <vertAlign val="subscript"/>
        <sz val="10"/>
        <rFont val="Calibri"/>
        <family val="1"/>
      </rPr>
      <t>3</t>
    </r>
  </si>
  <si>
    <t>1,1,1,3,3-Pentafluorobutano</t>
  </si>
  <si>
    <t>R-413A</t>
  </si>
  <si>
    <r>
      <rPr>
        <sz val="10"/>
        <rFont val="Calibri"/>
        <family val="1"/>
      </rPr>
      <t>R-41</t>
    </r>
  </si>
  <si>
    <r>
      <rPr>
        <sz val="10"/>
        <rFont val="Calibri"/>
        <family val="1"/>
      </rPr>
      <t>CH</t>
    </r>
    <r>
      <rPr>
        <vertAlign val="subscript"/>
        <sz val="10"/>
        <rFont val="Calibri"/>
        <family val="1"/>
      </rPr>
      <t>3</t>
    </r>
    <r>
      <rPr>
        <sz val="10"/>
        <rFont val="Calibri"/>
        <family val="1"/>
      </rPr>
      <t>F</t>
    </r>
  </si>
  <si>
    <t>Fluorometano</t>
  </si>
  <si>
    <t>R-414A</t>
  </si>
  <si>
    <r>
      <rPr>
        <sz val="10"/>
        <rFont val="Calibri"/>
        <family val="1"/>
      </rPr>
      <t>R-43-10mee</t>
    </r>
  </si>
  <si>
    <r>
      <rPr>
        <vertAlign val="superscript"/>
        <sz val="10"/>
        <rFont val="Calibri"/>
        <family val="1"/>
      </rPr>
      <t>C</t>
    </r>
    <r>
      <rPr>
        <sz val="10"/>
        <rFont val="Calibri"/>
        <family val="1"/>
      </rPr>
      <t>5</t>
    </r>
    <r>
      <rPr>
        <vertAlign val="superscript"/>
        <sz val="10"/>
        <rFont val="Calibri"/>
        <family val="1"/>
      </rPr>
      <t>H</t>
    </r>
    <r>
      <rPr>
        <sz val="10"/>
        <rFont val="Calibri"/>
        <family val="1"/>
      </rPr>
      <t>2</t>
    </r>
    <r>
      <rPr>
        <vertAlign val="superscript"/>
        <sz val="10"/>
        <rFont val="Calibri"/>
        <family val="1"/>
      </rPr>
      <t>F</t>
    </r>
    <r>
      <rPr>
        <sz val="10"/>
        <rFont val="Calibri"/>
        <family val="1"/>
      </rPr>
      <t>10</t>
    </r>
  </si>
  <si>
    <t>1,1,1,2,2,3,4,5,5,5-Decafluoropentano</t>
  </si>
  <si>
    <t>R-414B</t>
  </si>
  <si>
    <r>
      <rPr>
        <sz val="10"/>
        <rFont val="Calibri"/>
        <family val="1"/>
      </rPr>
      <t>PFC-14</t>
    </r>
  </si>
  <si>
    <r>
      <rPr>
        <sz val="10"/>
        <rFont val="Calibri"/>
        <family val="1"/>
      </rPr>
      <t>CF</t>
    </r>
    <r>
      <rPr>
        <vertAlign val="subscript"/>
        <sz val="10"/>
        <rFont val="Calibri"/>
        <family val="1"/>
      </rPr>
      <t>4</t>
    </r>
  </si>
  <si>
    <t>Tetrafluoreto de Carbono/ Tetrafluorometano</t>
  </si>
  <si>
    <t>R-415A</t>
  </si>
  <si>
    <r>
      <rPr>
        <sz val="10"/>
        <rFont val="Calibri"/>
        <family val="1"/>
      </rPr>
      <t>PFC-116</t>
    </r>
  </si>
  <si>
    <r>
      <rPr>
        <sz val="10"/>
        <rFont val="Calibri"/>
        <family val="1"/>
      </rPr>
      <t>C</t>
    </r>
    <r>
      <rPr>
        <vertAlign val="subscript"/>
        <sz val="10"/>
        <rFont val="Calibri"/>
        <family val="1"/>
      </rPr>
      <t>2</t>
    </r>
    <r>
      <rPr>
        <sz val="10"/>
        <rFont val="Calibri"/>
        <family val="1"/>
      </rPr>
      <t>F</t>
    </r>
    <r>
      <rPr>
        <vertAlign val="subscript"/>
        <sz val="10"/>
        <rFont val="Calibri"/>
        <family val="1"/>
      </rPr>
      <t>6</t>
    </r>
  </si>
  <si>
    <t>Perfluoroetano</t>
  </si>
  <si>
    <r>
      <rPr>
        <sz val="10"/>
        <rFont val="Calibri"/>
        <family val="1"/>
      </rPr>
      <t>PFC-218</t>
    </r>
  </si>
  <si>
    <r>
      <rPr>
        <sz val="10"/>
        <rFont val="Calibri"/>
        <family val="1"/>
      </rPr>
      <t>C</t>
    </r>
    <r>
      <rPr>
        <vertAlign val="subscript"/>
        <sz val="10"/>
        <rFont val="Calibri"/>
        <family val="1"/>
      </rPr>
      <t>3</t>
    </r>
    <r>
      <rPr>
        <sz val="10"/>
        <rFont val="Calibri"/>
        <family val="1"/>
      </rPr>
      <t>F</t>
    </r>
    <r>
      <rPr>
        <vertAlign val="subscript"/>
        <sz val="10"/>
        <rFont val="Calibri"/>
        <family val="1"/>
      </rPr>
      <t>8</t>
    </r>
  </si>
  <si>
    <t>Octafluoropropano</t>
  </si>
  <si>
    <t>R-416A</t>
  </si>
  <si>
    <r>
      <rPr>
        <sz val="10"/>
        <rFont val="Calibri"/>
        <family val="1"/>
      </rPr>
      <t>PFC-3-1-10</t>
    </r>
  </si>
  <si>
    <r>
      <rPr>
        <vertAlign val="superscript"/>
        <sz val="10"/>
        <rFont val="Calibri"/>
        <family val="1"/>
      </rPr>
      <t>C</t>
    </r>
    <r>
      <rPr>
        <sz val="10"/>
        <rFont val="Calibri"/>
        <family val="1"/>
      </rPr>
      <t>4</t>
    </r>
    <r>
      <rPr>
        <vertAlign val="superscript"/>
        <sz val="10"/>
        <rFont val="Calibri"/>
        <family val="1"/>
      </rPr>
      <t>F</t>
    </r>
    <r>
      <rPr>
        <sz val="10"/>
        <rFont val="Calibri"/>
        <family val="1"/>
      </rPr>
      <t>10</t>
    </r>
  </si>
  <si>
    <r>
      <rPr>
        <sz val="10"/>
        <rFont val="Calibri"/>
        <family val="1"/>
      </rPr>
      <t>Decafluorobutano</t>
    </r>
  </si>
  <si>
    <t>R-417A</t>
  </si>
  <si>
    <r>
      <rPr>
        <sz val="10"/>
        <rFont val="Calibri"/>
        <family val="1"/>
      </rPr>
      <t>PFC-4-1-12</t>
    </r>
  </si>
  <si>
    <r>
      <rPr>
        <vertAlign val="superscript"/>
        <sz val="10"/>
        <rFont val="Calibri"/>
        <family val="1"/>
      </rPr>
      <t>C</t>
    </r>
    <r>
      <rPr>
        <sz val="10"/>
        <rFont val="Calibri"/>
        <family val="1"/>
      </rPr>
      <t>5</t>
    </r>
    <r>
      <rPr>
        <vertAlign val="superscript"/>
        <sz val="10"/>
        <rFont val="Calibri"/>
        <family val="1"/>
      </rPr>
      <t>F</t>
    </r>
    <r>
      <rPr>
        <sz val="10"/>
        <rFont val="Calibri"/>
        <family val="1"/>
      </rPr>
      <t>12</t>
    </r>
  </si>
  <si>
    <t>Dodecafluoropentano</t>
  </si>
  <si>
    <t>R-417B</t>
  </si>
  <si>
    <r>
      <rPr>
        <sz val="10"/>
        <rFont val="Calibri"/>
        <family val="1"/>
      </rPr>
      <t>PFC-5-1-14</t>
    </r>
  </si>
  <si>
    <r>
      <rPr>
        <vertAlign val="superscript"/>
        <sz val="10"/>
        <rFont val="Calibri"/>
        <family val="1"/>
      </rPr>
      <t>C</t>
    </r>
    <r>
      <rPr>
        <sz val="10"/>
        <rFont val="Calibri"/>
        <family val="1"/>
      </rPr>
      <t>6</t>
    </r>
    <r>
      <rPr>
        <vertAlign val="superscript"/>
        <sz val="10"/>
        <rFont val="Calibri"/>
        <family val="1"/>
      </rPr>
      <t>F</t>
    </r>
    <r>
      <rPr>
        <sz val="10"/>
        <rFont val="Calibri"/>
        <family val="1"/>
      </rPr>
      <t>14</t>
    </r>
  </si>
  <si>
    <t>Tetradecafluorohexano</t>
  </si>
  <si>
    <t>R-417C</t>
  </si>
  <si>
    <r>
      <rPr>
        <sz val="10"/>
        <rFont val="Calibri"/>
        <family val="1"/>
      </rPr>
      <t>PFC-c-318</t>
    </r>
  </si>
  <si>
    <r>
      <rPr>
        <sz val="10"/>
        <rFont val="Calibri"/>
        <family val="1"/>
      </rPr>
      <t>PFC-318</t>
    </r>
  </si>
  <si>
    <r>
      <rPr>
        <sz val="10"/>
        <rFont val="Calibri"/>
        <family val="1"/>
      </rPr>
      <t>c-C</t>
    </r>
    <r>
      <rPr>
        <vertAlign val="subscript"/>
        <sz val="10"/>
        <rFont val="Calibri"/>
        <family val="1"/>
      </rPr>
      <t>4</t>
    </r>
    <r>
      <rPr>
        <sz val="10"/>
        <rFont val="Calibri"/>
        <family val="1"/>
      </rPr>
      <t>F</t>
    </r>
    <r>
      <rPr>
        <vertAlign val="subscript"/>
        <sz val="10"/>
        <rFont val="Calibri"/>
        <family val="1"/>
      </rPr>
      <t>8</t>
    </r>
  </si>
  <si>
    <t>Octafluorociclobutano</t>
  </si>
  <si>
    <t>R-418A</t>
  </si>
  <si>
    <r>
      <t xml:space="preserve">R-22 (53%)
</t>
    </r>
    <r>
      <rPr>
        <sz val="10"/>
        <rFont val="Calibri"/>
        <family val="2"/>
      </rPr>
      <t xml:space="preserve">R-124 (34%)
</t>
    </r>
    <r>
      <rPr>
        <sz val="10"/>
        <rFont val="Calibri"/>
        <family val="1"/>
      </rPr>
      <t>R-152a (13%)</t>
    </r>
  </si>
  <si>
    <r>
      <t>CHF</t>
    </r>
    <r>
      <rPr>
        <vertAlign val="subscript"/>
        <sz val="10"/>
        <rFont val="Calibri"/>
        <family val="1"/>
      </rPr>
      <t>2</t>
    </r>
    <r>
      <rPr>
        <sz val="10"/>
        <rFont val="Calibri"/>
        <family val="1"/>
      </rPr>
      <t>Cl (53%)
C2HF4Cl (34%)
C2H4F2 (13%)</t>
    </r>
  </si>
  <si>
    <r>
      <t>Clorodifluorometano (53%)</t>
    </r>
    <r>
      <rPr>
        <sz val="10"/>
        <rFont val="Calibri"/>
        <family val="2"/>
      </rPr>
      <t xml:space="preserve">  
2-Cloro-1,1,1,2-tetrafluoroetano (34%)</t>
    </r>
    <r>
      <rPr>
        <sz val="10"/>
        <rFont val="Calibri"/>
        <family val="1"/>
      </rPr>
      <t xml:space="preserve">  
1,1-Difluoroetano (13%)</t>
    </r>
  </si>
  <si>
    <t>R-419A</t>
  </si>
  <si>
    <r>
      <rPr>
        <sz val="10"/>
        <rFont val="Calibri"/>
        <family val="1"/>
      </rPr>
      <t>R-401B</t>
    </r>
  </si>
  <si>
    <r>
      <t xml:space="preserve">R-22 (61%)
</t>
    </r>
    <r>
      <rPr>
        <sz val="10"/>
        <rFont val="Calibri"/>
        <family val="2"/>
      </rPr>
      <t xml:space="preserve">R-124 (28%)
</t>
    </r>
    <r>
      <rPr>
        <sz val="10"/>
        <rFont val="Calibri"/>
        <family val="1"/>
      </rPr>
      <t>R-152a (11%)</t>
    </r>
  </si>
  <si>
    <r>
      <t>CHF</t>
    </r>
    <r>
      <rPr>
        <vertAlign val="subscript"/>
        <sz val="10"/>
        <rFont val="Calibri"/>
        <family val="1"/>
      </rPr>
      <t>2</t>
    </r>
    <r>
      <rPr>
        <sz val="10"/>
        <rFont val="Calibri"/>
        <family val="1"/>
      </rPr>
      <t xml:space="preserve">Cl (61%)
</t>
    </r>
    <r>
      <rPr>
        <sz val="10"/>
        <rFont val="Calibri"/>
        <family val="2"/>
      </rPr>
      <t>C2HF4Cl (28%)</t>
    </r>
    <r>
      <rPr>
        <sz val="10"/>
        <rFont val="Calibri"/>
        <family val="1"/>
      </rPr>
      <t xml:space="preserve">   
C2H4F2 (11%)</t>
    </r>
  </si>
  <si>
    <r>
      <t>Clorodifluorometano (61%)</t>
    </r>
    <r>
      <rPr>
        <sz val="10"/>
        <rFont val="Calibri"/>
        <family val="2"/>
      </rPr>
      <t xml:space="preserve">   
2-Cloro-1,1,1,2-tetrafluoroetano (28%)</t>
    </r>
    <r>
      <rPr>
        <sz val="10"/>
        <rFont val="Calibri"/>
        <family val="1"/>
      </rPr>
      <t xml:space="preserve">  
1,1-Difluoroetano (11%)</t>
    </r>
  </si>
  <si>
    <t>R-419B</t>
  </si>
  <si>
    <r>
      <rPr>
        <sz val="10"/>
        <rFont val="Calibri"/>
        <family val="1"/>
      </rPr>
      <t>R-401C</t>
    </r>
  </si>
  <si>
    <r>
      <t xml:space="preserve">R-124 (52%)
</t>
    </r>
    <r>
      <rPr>
        <sz val="10"/>
        <rFont val="Calibri"/>
        <family val="2"/>
      </rPr>
      <t xml:space="preserve">R-22 (33%)
</t>
    </r>
    <r>
      <rPr>
        <sz val="10"/>
        <rFont val="Calibri"/>
        <family val="1"/>
      </rPr>
      <t>R-152a (15%)</t>
    </r>
  </si>
  <si>
    <r>
      <t>C</t>
    </r>
    <r>
      <rPr>
        <vertAlign val="subscript"/>
        <sz val="10"/>
        <rFont val="Calibri"/>
        <family val="1"/>
      </rPr>
      <t>2</t>
    </r>
    <r>
      <rPr>
        <sz val="10"/>
        <rFont val="Calibri"/>
        <family val="1"/>
      </rPr>
      <t>HF</t>
    </r>
    <r>
      <rPr>
        <vertAlign val="subscript"/>
        <sz val="10"/>
        <rFont val="Calibri"/>
        <family val="1"/>
      </rPr>
      <t>4</t>
    </r>
    <r>
      <rPr>
        <sz val="10"/>
        <rFont val="Calibri"/>
        <family val="1"/>
      </rPr>
      <t>Cl (52%)</t>
    </r>
    <r>
      <rPr>
        <sz val="10"/>
        <rFont val="Calibri"/>
        <family val="2"/>
      </rPr>
      <t xml:space="preserve">   
CHF2Cl (33%)</t>
    </r>
    <r>
      <rPr>
        <sz val="10"/>
        <rFont val="Calibri"/>
        <family val="1"/>
      </rPr>
      <t xml:space="preserve">   
C2H4F2 (15%)</t>
    </r>
  </si>
  <si>
    <r>
      <t>2-Cloro-1,1,1,2-tetrafluoroetano (52%)</t>
    </r>
    <r>
      <rPr>
        <sz val="10"/>
        <rFont val="Calibri"/>
        <family val="2"/>
      </rPr>
      <t xml:space="preserve">   
Clorodifluorometano (33%)</t>
    </r>
    <r>
      <rPr>
        <sz val="10"/>
        <rFont val="Calibri"/>
        <family val="1"/>
      </rPr>
      <t xml:space="preserve">   
1,1-Difluoroetano (15%)</t>
    </r>
  </si>
  <si>
    <t>R-420A</t>
  </si>
  <si>
    <r>
      <rPr>
        <sz val="10"/>
        <rFont val="Calibri"/>
        <family val="1"/>
      </rPr>
      <t>R-402A</t>
    </r>
  </si>
  <si>
    <r>
      <t xml:space="preserve">R-125 (60%)
</t>
    </r>
    <r>
      <rPr>
        <sz val="10"/>
        <rFont val="Calibri"/>
        <family val="2"/>
      </rPr>
      <t xml:space="preserve">R-22 (38%)
</t>
    </r>
    <r>
      <rPr>
        <sz val="10"/>
        <rFont val="Calibri"/>
        <family val="1"/>
      </rPr>
      <t>R-290 (2%)</t>
    </r>
  </si>
  <si>
    <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(60%)</t>
    </r>
    <r>
      <rPr>
        <sz val="10"/>
        <rFont val="Calibri"/>
        <family val="2"/>
      </rPr>
      <t xml:space="preserve">  
CHF2Cl (38%)</t>
    </r>
    <r>
      <rPr>
        <sz val="10"/>
        <rFont val="Calibri"/>
        <family val="1"/>
      </rPr>
      <t xml:space="preserve">  
C3H8 (2%)</t>
    </r>
  </si>
  <si>
    <r>
      <t>Pentafluoroetano (60%)</t>
    </r>
    <r>
      <rPr>
        <sz val="10"/>
        <rFont val="Calibri"/>
        <family val="2"/>
      </rPr>
      <t xml:space="preserve">  
Clorodifluorometano (38%)</t>
    </r>
    <r>
      <rPr>
        <sz val="10"/>
        <rFont val="Calibri"/>
        <family val="1"/>
      </rPr>
      <t xml:space="preserve"> 
Propano (2%)</t>
    </r>
  </si>
  <si>
    <t>R-421A</t>
  </si>
  <si>
    <r>
      <rPr>
        <sz val="10"/>
        <rFont val="Calibri"/>
        <family val="1"/>
      </rPr>
      <t>R-402B</t>
    </r>
  </si>
  <si>
    <r>
      <t xml:space="preserve">R-22 (60%)
</t>
    </r>
    <r>
      <rPr>
        <sz val="10"/>
        <rFont val="Calibri"/>
        <family val="2"/>
      </rPr>
      <t xml:space="preserve">R-125 (38%)
</t>
    </r>
    <r>
      <rPr>
        <sz val="10"/>
        <rFont val="Calibri"/>
        <family val="1"/>
      </rPr>
      <t>R-290 (2%)</t>
    </r>
  </si>
  <si>
    <r>
      <t>CHF</t>
    </r>
    <r>
      <rPr>
        <vertAlign val="subscript"/>
        <sz val="10"/>
        <rFont val="Calibri"/>
        <family val="1"/>
      </rPr>
      <t>2</t>
    </r>
    <r>
      <rPr>
        <sz val="10"/>
        <rFont val="Calibri"/>
        <family val="1"/>
      </rPr>
      <t>Cl (60%)</t>
    </r>
    <r>
      <rPr>
        <sz val="10"/>
        <rFont val="Calibri"/>
        <family val="2"/>
      </rPr>
      <t xml:space="preserve">  
C2HF5 (38%)</t>
    </r>
    <r>
      <rPr>
        <sz val="10"/>
        <rFont val="Calibri"/>
        <family val="1"/>
      </rPr>
      <t xml:space="preserve">  
CH3CH2CH3 (2%)</t>
    </r>
  </si>
  <si>
    <r>
      <t>Clorodifluorometano (60%)</t>
    </r>
    <r>
      <rPr>
        <sz val="10"/>
        <rFont val="Calibri"/>
        <family val="2"/>
      </rPr>
      <t xml:space="preserve">  
Pentafluoroetano (38%)  
Propano (2%)</t>
    </r>
  </si>
  <si>
    <t>R-421B</t>
  </si>
  <si>
    <r>
      <rPr>
        <sz val="10"/>
        <rFont val="Calibri"/>
        <family val="1"/>
      </rPr>
      <t>R-403A</t>
    </r>
  </si>
  <si>
    <r>
      <t xml:space="preserve">HCFC-22 (75%)
</t>
    </r>
    <r>
      <rPr>
        <sz val="10"/>
        <rFont val="Calibri"/>
        <family val="2"/>
      </rPr>
      <t xml:space="preserve">PFC-218 (20%)
</t>
    </r>
    <r>
      <rPr>
        <sz val="10"/>
        <rFont val="Calibri"/>
        <family val="1"/>
      </rPr>
      <t>R-290 (5%)</t>
    </r>
  </si>
  <si>
    <r>
      <t>CHF</t>
    </r>
    <r>
      <rPr>
        <vertAlign val="subscript"/>
        <sz val="10"/>
        <rFont val="Calibri"/>
        <family val="1"/>
      </rPr>
      <t>2</t>
    </r>
    <r>
      <rPr>
        <sz val="10"/>
        <rFont val="Calibri"/>
        <family val="1"/>
      </rPr>
      <t>Cl (75%)</t>
    </r>
    <r>
      <rPr>
        <sz val="10"/>
        <rFont val="Calibri"/>
        <family val="2"/>
      </rPr>
      <t xml:space="preserve">  
C3F8 (20%)</t>
    </r>
    <r>
      <rPr>
        <sz val="10"/>
        <rFont val="Calibri"/>
        <family val="1"/>
      </rPr>
      <t xml:space="preserve">  
C3H8 (5%)</t>
    </r>
  </si>
  <si>
    <r>
      <t>Clorodifluorometano (75%)</t>
    </r>
    <r>
      <rPr>
        <sz val="10"/>
        <rFont val="Calibri"/>
        <family val="2"/>
      </rPr>
      <t xml:space="preserve">   
Octafluoropropano (20%)</t>
    </r>
    <r>
      <rPr>
        <sz val="10"/>
        <rFont val="Calibri"/>
        <family val="1"/>
      </rPr>
      <t xml:space="preserve">  
Propano (5%)</t>
    </r>
  </si>
  <si>
    <t>R-422A</t>
  </si>
  <si>
    <r>
      <rPr>
        <sz val="10"/>
        <rFont val="Calibri"/>
        <family val="1"/>
      </rPr>
      <t>R-403B</t>
    </r>
  </si>
  <si>
    <r>
      <t xml:space="preserve">HCFC-22 (55%)
</t>
    </r>
    <r>
      <rPr>
        <sz val="10"/>
        <rFont val="Calibri"/>
        <family val="2"/>
      </rPr>
      <t xml:space="preserve">PFC-218 (39%)
</t>
    </r>
    <r>
      <rPr>
        <sz val="10"/>
        <rFont val="Calibri"/>
        <family val="1"/>
      </rPr>
      <t>R-290 (6%)</t>
    </r>
  </si>
  <si>
    <r>
      <t>CHF</t>
    </r>
    <r>
      <rPr>
        <vertAlign val="subscript"/>
        <sz val="10"/>
        <rFont val="Calibri"/>
        <family val="1"/>
      </rPr>
      <t>2</t>
    </r>
    <r>
      <rPr>
        <sz val="10"/>
        <rFont val="Calibri"/>
        <family val="1"/>
      </rPr>
      <t>Cl (55%)</t>
    </r>
    <r>
      <rPr>
        <sz val="10"/>
        <rFont val="Calibri"/>
        <family val="2"/>
      </rPr>
      <t xml:space="preserve">  
C3F8 (39%)</t>
    </r>
    <r>
      <rPr>
        <sz val="10"/>
        <rFont val="Calibri"/>
        <family val="1"/>
      </rPr>
      <t xml:space="preserve">  
C3H8 (6%)</t>
    </r>
  </si>
  <si>
    <r>
      <t>Clorodifluorometano (55%)</t>
    </r>
    <r>
      <rPr>
        <sz val="10"/>
        <rFont val="Calibri"/>
        <family val="2"/>
      </rPr>
      <t xml:space="preserve">  
Octafluoropropano (39%)</t>
    </r>
    <r>
      <rPr>
        <sz val="10"/>
        <rFont val="Calibri"/>
        <family val="1"/>
      </rPr>
      <t xml:space="preserve">   
Propano (6%)</t>
    </r>
  </si>
  <si>
    <t>R-422B</t>
  </si>
  <si>
    <r>
      <rPr>
        <sz val="10"/>
        <rFont val="Calibri"/>
        <family val="1"/>
      </rPr>
      <t>R-404A</t>
    </r>
  </si>
  <si>
    <r>
      <rPr>
        <sz val="10"/>
        <rFont val="Calibri"/>
        <family val="1"/>
      </rPr>
      <t>R-143a (52%)
R-125 (44%)
R-134a (4%)</t>
    </r>
  </si>
  <si>
    <r>
      <rPr>
        <sz val="10"/>
        <rFont val="Calibri"/>
        <family val="1"/>
      </rPr>
      <t>C</t>
    </r>
    <r>
      <rPr>
        <vertAlign val="subscript"/>
        <sz val="10"/>
        <rFont val="Calibri"/>
        <family val="1"/>
      </rPr>
      <t>2</t>
    </r>
    <r>
      <rPr>
        <sz val="10"/>
        <rFont val="Calibri"/>
        <family val="1"/>
      </rPr>
      <t>H</t>
    </r>
    <r>
      <rPr>
        <vertAlign val="subscript"/>
        <sz val="10"/>
        <rFont val="Calibri"/>
        <family val="1"/>
      </rPr>
      <t>3</t>
    </r>
    <r>
      <rPr>
        <sz val="10"/>
        <rFont val="Calibri"/>
        <family val="1"/>
      </rPr>
      <t>F</t>
    </r>
    <r>
      <rPr>
        <vertAlign val="subscript"/>
        <sz val="10"/>
        <rFont val="Calibri"/>
        <family val="1"/>
      </rPr>
      <t>3</t>
    </r>
    <r>
      <rPr>
        <sz val="10"/>
        <rFont val="Calibri"/>
        <family val="1"/>
      </rPr>
      <t xml:space="preserve"> (52%)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(44%)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(4%)</t>
    </r>
  </si>
  <si>
    <t>1,1,1-Trifluoroetano (52%)
Pentafluoroetano (44%)
1,1,1,2-Tetrafluoroetano (4%)</t>
  </si>
  <si>
    <t>R-422C</t>
  </si>
  <si>
    <r>
      <rPr>
        <sz val="10"/>
        <rFont val="Calibri"/>
        <family val="1"/>
      </rPr>
      <t>R-405A</t>
    </r>
  </si>
  <si>
    <r>
      <rPr>
        <sz val="10"/>
        <rFont val="Calibri"/>
        <family val="1"/>
      </rPr>
      <t>R-22 (45%)
PFC-318 (42.5%)
R-152a (7%)
R-142b (5.5%)</t>
    </r>
  </si>
  <si>
    <r>
      <rPr>
        <sz val="10"/>
        <rFont val="Calibri"/>
        <family val="1"/>
      </rPr>
      <t>CHF</t>
    </r>
    <r>
      <rPr>
        <vertAlign val="subscript"/>
        <sz val="10"/>
        <rFont val="Calibri"/>
        <family val="1"/>
      </rPr>
      <t>2</t>
    </r>
    <r>
      <rPr>
        <sz val="10"/>
        <rFont val="Calibri"/>
        <family val="1"/>
      </rPr>
      <t>Cl (45%)
c-C</t>
    </r>
    <r>
      <rPr>
        <vertAlign val="subscript"/>
        <sz val="10"/>
        <rFont val="Calibri"/>
        <family val="1"/>
      </rPr>
      <t>4</t>
    </r>
    <r>
      <rPr>
        <sz val="10"/>
        <rFont val="Calibri"/>
        <family val="1"/>
      </rPr>
      <t>F</t>
    </r>
    <r>
      <rPr>
        <vertAlign val="subscript"/>
        <sz val="10"/>
        <rFont val="Calibri"/>
        <family val="1"/>
      </rPr>
      <t>8</t>
    </r>
    <r>
      <rPr>
        <sz val="10"/>
        <rFont val="Calibri"/>
        <family val="1"/>
      </rPr>
      <t xml:space="preserve"> (42.5%)
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(7%)
CH</t>
    </r>
    <r>
      <rPr>
        <vertAlign val="subscript"/>
        <sz val="10"/>
        <rFont val="Calibri"/>
        <family val="1"/>
      </rPr>
      <t>3</t>
    </r>
    <r>
      <rPr>
        <sz val="10"/>
        <rFont val="Calibri"/>
        <family val="1"/>
      </rPr>
      <t>CF</t>
    </r>
    <r>
      <rPr>
        <vertAlign val="subscript"/>
        <sz val="10"/>
        <rFont val="Calibri"/>
        <family val="1"/>
      </rPr>
      <t>2</t>
    </r>
    <r>
      <rPr>
        <sz val="10"/>
        <rFont val="Calibri"/>
        <family val="1"/>
      </rPr>
      <t>Cl (5.5%)</t>
    </r>
  </si>
  <si>
    <t>Clorodifluorometano (45%)
Octafluorociclobutano (42.5%)
1,1-Difluoroetano (7%)
2-Bromo-1,1-difluoroetano (5.5%)</t>
  </si>
  <si>
    <t>R-422D</t>
  </si>
  <si>
    <r>
      <rPr>
        <sz val="10"/>
        <rFont val="Calibri"/>
        <family val="1"/>
      </rPr>
      <t>R-407A</t>
    </r>
  </si>
  <si>
    <r>
      <rPr>
        <sz val="10"/>
        <rFont val="Calibri"/>
        <family val="1"/>
      </rPr>
      <t>R-125 (40%)
R-134a (40%)
R-32 (20%)</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</si>
  <si>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(40%)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(40%)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(20%)</t>
    </r>
  </si>
  <si>
    <t>Pentafluoroetano (40%)
1,1,1,2-Tetrafluoroetano (40%)
Difluorometano (20%)</t>
  </si>
  <si>
    <t>R-422E</t>
  </si>
  <si>
    <r>
      <rPr>
        <sz val="10"/>
        <rFont val="Calibri"/>
        <family val="1"/>
      </rPr>
      <t>R-407B</t>
    </r>
  </si>
  <si>
    <r>
      <rPr>
        <sz val="10"/>
        <rFont val="Calibri"/>
        <family val="1"/>
      </rPr>
      <t>R-125 (70%)
R-134a (20%)
R-32 (10%)</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</si>
  <si>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(70%)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(20%)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(10%)</t>
    </r>
  </si>
  <si>
    <t>Pentafluoroetano (70%)
1,1,1,2-Tetrafluoroetano (20%)
Difluorometano (10%)</t>
  </si>
  <si>
    <t>R-423A</t>
  </si>
  <si>
    <r>
      <rPr>
        <sz val="10"/>
        <rFont val="Calibri"/>
        <family val="1"/>
      </rPr>
      <t>R-407C</t>
    </r>
  </si>
  <si>
    <r>
      <rPr>
        <sz val="10"/>
        <rFont val="Calibri"/>
        <family val="1"/>
      </rPr>
      <t>R-134a (52%)
R-125 (25%)
R-32 (23%)</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</si>
  <si>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(52%)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(25%)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(23%)</t>
    </r>
  </si>
  <si>
    <t>1,1,1,2-Tetrafluoroetano (52%)
Pentafluoroetano (25%)
Difluorometano (23%)</t>
  </si>
  <si>
    <t>R-424A</t>
  </si>
  <si>
    <r>
      <rPr>
        <sz val="10"/>
        <rFont val="Calibri"/>
        <family val="1"/>
      </rPr>
      <t>R-407D</t>
    </r>
  </si>
  <si>
    <r>
      <rPr>
        <sz val="10"/>
        <rFont val="Calibri"/>
        <family val="1"/>
      </rPr>
      <t>R-134a (70%)
R-125 (15%)
R-32 (15%)</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</si>
  <si>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(70%)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(15%)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(15%)</t>
    </r>
  </si>
  <si>
    <t>1,1,1,2-Tetrafluoroetano (70%)
Pentafluoroetano (15%)
Difluorometano (15%)</t>
  </si>
  <si>
    <t>R-425A</t>
  </si>
  <si>
    <r>
      <rPr>
        <sz val="10"/>
        <rFont val="Calibri"/>
        <family val="1"/>
      </rPr>
      <t>R-407E</t>
    </r>
  </si>
  <si>
    <r>
      <rPr>
        <sz val="10"/>
        <rFont val="Calibri"/>
        <family val="1"/>
      </rPr>
      <t>R-134a (60%)
R-32 (25%)
R-125 (15%)</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</si>
  <si>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(60%)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(25%)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(15%)</t>
    </r>
  </si>
  <si>
    <t>1,1,1,2-Tetrafluoroetano (60%)
Difluorometano (25%)
Pentafluoroetano (15%)</t>
  </si>
  <si>
    <t>R-426A</t>
  </si>
  <si>
    <r>
      <rPr>
        <sz val="10"/>
        <rFont val="Calibri"/>
        <family val="1"/>
      </rPr>
      <t>R-407F</t>
    </r>
  </si>
  <si>
    <r>
      <rPr>
        <sz val="10"/>
        <rFont val="Calibri"/>
        <family val="1"/>
      </rPr>
      <t>R-134a (40%)
R-32 (30%)
R-125 (30%)</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</si>
  <si>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(40%)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(30%)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(30%)</t>
    </r>
  </si>
  <si>
    <t>1,1,1,2-Tetrafluoroetano (40%)
Difluorometano (30%)
Pentafluoroetano (30%)</t>
  </si>
  <si>
    <t>R-427A</t>
  </si>
  <si>
    <r>
      <rPr>
        <sz val="10"/>
        <rFont val="Calibri"/>
        <family val="1"/>
      </rPr>
      <t>R-407H</t>
    </r>
  </si>
  <si>
    <r>
      <rPr>
        <sz val="10"/>
        <rFont val="Calibri"/>
        <family val="1"/>
      </rPr>
      <t>R-134a (52,5%)
R-32 (32,5%)
R-125 (15%)</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</si>
  <si>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(52,5%)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(32,5%)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(15%)</t>
    </r>
  </si>
  <si>
    <t>1,1,1,2-Tetrafluoroetano (52,5%)
Difluorometano (32,5%)
Pentafluoroetano (15%)</t>
  </si>
  <si>
    <t>R-428A</t>
  </si>
  <si>
    <r>
      <rPr>
        <sz val="10"/>
        <rFont val="Calibri"/>
        <family val="1"/>
      </rPr>
      <t>R-410A</t>
    </r>
  </si>
  <si>
    <r>
      <rPr>
        <sz val="10"/>
        <rFont val="Calibri"/>
        <family val="1"/>
      </rPr>
      <t>R-125 (50%)
R-32 (50%)</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</si>
  <si>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(50%)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(50%)</t>
    </r>
  </si>
  <si>
    <t>Pentafluoroetano (50%)
Difluorometano (50%)</t>
  </si>
  <si>
    <t>R-429A</t>
  </si>
  <si>
    <r>
      <rPr>
        <sz val="10"/>
        <rFont val="Calibri"/>
        <family val="1"/>
      </rPr>
      <t>R-410B</t>
    </r>
  </si>
  <si>
    <r>
      <rPr>
        <sz val="10"/>
        <rFont val="Calibri"/>
        <family val="1"/>
      </rPr>
      <t>R-125 (55%)
R-32 (45%)</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</si>
  <si>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(55%)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(45%)</t>
    </r>
  </si>
  <si>
    <t>Pentafluoroetano (55%)
Difluorometano (45%)</t>
  </si>
  <si>
    <t>R-430A</t>
  </si>
  <si>
    <r>
      <rPr>
        <sz val="10"/>
        <rFont val="Calibri"/>
        <family val="1"/>
      </rPr>
      <t>R-411A</t>
    </r>
  </si>
  <si>
    <r>
      <rPr>
        <sz val="10"/>
        <rFont val="Calibri"/>
        <family val="1"/>
      </rPr>
      <t>R-22 (87.5%)
R-152a (11%)
R-1270 (1.5%)</t>
    </r>
  </si>
  <si>
    <r>
      <rPr>
        <sz val="10"/>
        <rFont val="Calibri"/>
        <family val="1"/>
      </rPr>
      <t>CHF</t>
    </r>
    <r>
      <rPr>
        <vertAlign val="subscript"/>
        <sz val="10"/>
        <rFont val="Calibri"/>
        <family val="1"/>
      </rPr>
      <t>2</t>
    </r>
    <r>
      <rPr>
        <sz val="10"/>
        <rFont val="Calibri"/>
        <family val="1"/>
      </rPr>
      <t>Cl (87.5%)
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(11%)
C</t>
    </r>
    <r>
      <rPr>
        <vertAlign val="subscript"/>
        <sz val="10"/>
        <rFont val="Calibri"/>
        <family val="1"/>
      </rPr>
      <t>3</t>
    </r>
    <r>
      <rPr>
        <sz val="10"/>
        <rFont val="Calibri"/>
        <family val="1"/>
      </rPr>
      <t>H</t>
    </r>
    <r>
      <rPr>
        <vertAlign val="subscript"/>
        <sz val="10"/>
        <rFont val="Calibri"/>
        <family val="1"/>
      </rPr>
      <t>6</t>
    </r>
    <r>
      <rPr>
        <sz val="10"/>
        <rFont val="Calibri"/>
        <family val="1"/>
      </rPr>
      <t xml:space="preserve"> (1.5%)</t>
    </r>
  </si>
  <si>
    <t>Clorodifluorometano (87.5%)
1,1-Difluoroetano (11%)
Propeno (1.5%)</t>
  </si>
  <si>
    <t>R-431A</t>
  </si>
  <si>
    <r>
      <rPr>
        <sz val="10"/>
        <rFont val="Calibri"/>
        <family val="1"/>
      </rPr>
      <t>R-411B</t>
    </r>
  </si>
  <si>
    <r>
      <rPr>
        <sz val="10"/>
        <rFont val="Calibri"/>
        <family val="1"/>
      </rPr>
      <t>R-22 (94%)
R-152a (3%)
R-1270 (3%)</t>
    </r>
  </si>
  <si>
    <r>
      <rPr>
        <sz val="10"/>
        <rFont val="Calibri"/>
        <family val="1"/>
      </rPr>
      <t>CHF</t>
    </r>
    <r>
      <rPr>
        <vertAlign val="subscript"/>
        <sz val="10"/>
        <rFont val="Calibri"/>
        <family val="1"/>
      </rPr>
      <t>2</t>
    </r>
    <r>
      <rPr>
        <sz val="10"/>
        <rFont val="Calibri"/>
        <family val="1"/>
      </rPr>
      <t>Cl (94%)
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(3%)
C</t>
    </r>
    <r>
      <rPr>
        <vertAlign val="subscript"/>
        <sz val="10"/>
        <rFont val="Calibri"/>
        <family val="1"/>
      </rPr>
      <t>3</t>
    </r>
    <r>
      <rPr>
        <sz val="10"/>
        <rFont val="Calibri"/>
        <family val="1"/>
      </rPr>
      <t>H</t>
    </r>
    <r>
      <rPr>
        <vertAlign val="subscript"/>
        <sz val="10"/>
        <rFont val="Calibri"/>
        <family val="1"/>
      </rPr>
      <t>6</t>
    </r>
    <r>
      <rPr>
        <sz val="10"/>
        <rFont val="Calibri"/>
        <family val="1"/>
      </rPr>
      <t xml:space="preserve"> (3%)</t>
    </r>
  </si>
  <si>
    <t>Clorodifluorometano (94%)
1,1-Difluoroetano (3%)
Propeno (3%)</t>
  </si>
  <si>
    <t>R-432A</t>
  </si>
  <si>
    <r>
      <rPr>
        <sz val="10"/>
        <rFont val="Calibri"/>
        <family val="1"/>
      </rPr>
      <t>R-413A</t>
    </r>
  </si>
  <si>
    <r>
      <rPr>
        <sz val="10"/>
        <rFont val="Calibri"/>
        <family val="1"/>
      </rPr>
      <t>R-134a (88%)
PFC-218 (9%)
R-600a (3%)</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</si>
  <si>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(88%)
C</t>
    </r>
    <r>
      <rPr>
        <vertAlign val="subscript"/>
        <sz val="10"/>
        <rFont val="Calibri"/>
        <family val="1"/>
      </rPr>
      <t>3</t>
    </r>
    <r>
      <rPr>
        <sz val="10"/>
        <rFont val="Calibri"/>
        <family val="1"/>
      </rPr>
      <t>F</t>
    </r>
    <r>
      <rPr>
        <vertAlign val="subscript"/>
        <sz val="10"/>
        <rFont val="Calibri"/>
        <family val="1"/>
      </rPr>
      <t>8</t>
    </r>
    <r>
      <rPr>
        <sz val="10"/>
        <rFont val="Calibri"/>
        <family val="1"/>
      </rPr>
      <t xml:space="preserve"> (9%)
CH(CH</t>
    </r>
    <r>
      <rPr>
        <vertAlign val="subscript"/>
        <sz val="10"/>
        <rFont val="Calibri"/>
        <family val="1"/>
      </rPr>
      <t>3</t>
    </r>
    <r>
      <rPr>
        <sz val="10"/>
        <rFont val="Calibri"/>
        <family val="1"/>
      </rPr>
      <t>)</t>
    </r>
    <r>
      <rPr>
        <vertAlign val="subscript"/>
        <sz val="10"/>
        <rFont val="Calibri"/>
        <family val="1"/>
      </rPr>
      <t>3</t>
    </r>
    <r>
      <rPr>
        <sz val="10"/>
        <rFont val="Calibri"/>
        <family val="1"/>
      </rPr>
      <t xml:space="preserve"> (3%)</t>
    </r>
  </si>
  <si>
    <t>1,1,1,2-Tetrafluoroetano (88%)
Octafluoropropano (9%)
Isobutano (3%)</t>
  </si>
  <si>
    <t>R-433A</t>
  </si>
  <si>
    <r>
      <rPr>
        <sz val="10"/>
        <rFont val="Calibri"/>
        <family val="1"/>
      </rPr>
      <t>R-415A</t>
    </r>
  </si>
  <si>
    <r>
      <rPr>
        <sz val="10"/>
        <rFont val="Calibri"/>
        <family val="1"/>
      </rPr>
      <t>R-22 (82%)
R-152a (18%)</t>
    </r>
  </si>
  <si>
    <r>
      <rPr>
        <sz val="10"/>
        <rFont val="Calibri"/>
        <family val="1"/>
      </rPr>
      <t>CHF</t>
    </r>
    <r>
      <rPr>
        <vertAlign val="subscript"/>
        <sz val="10"/>
        <rFont val="Calibri"/>
        <family val="1"/>
      </rPr>
      <t>2</t>
    </r>
    <r>
      <rPr>
        <sz val="10"/>
        <rFont val="Calibri"/>
        <family val="1"/>
      </rPr>
      <t>Cl (82%)
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(18%)</t>
    </r>
  </si>
  <si>
    <t>Clorodifluorometano (82%)
1,1-Difluoroetano (18%)</t>
  </si>
  <si>
    <t>R-434A</t>
  </si>
  <si>
    <r>
      <rPr>
        <sz val="10"/>
        <rFont val="Calibri"/>
        <family val="1"/>
      </rPr>
      <t>R-415B</t>
    </r>
  </si>
  <si>
    <r>
      <rPr>
        <sz val="10"/>
        <rFont val="Calibri"/>
        <family val="1"/>
      </rPr>
      <t>R-152a (75%)
R-22 (25%)</t>
    </r>
  </si>
  <si>
    <r>
      <rPr>
        <sz val="10"/>
        <rFont val="Calibri"/>
        <family val="1"/>
      </rPr>
      <t>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(75%)
CHF</t>
    </r>
    <r>
      <rPr>
        <vertAlign val="subscript"/>
        <sz val="10"/>
        <rFont val="Calibri"/>
        <family val="1"/>
      </rPr>
      <t>2</t>
    </r>
    <r>
      <rPr>
        <sz val="10"/>
        <rFont val="Calibri"/>
        <family val="1"/>
      </rPr>
      <t>Cl (25%)</t>
    </r>
  </si>
  <si>
    <t>1,1-Difluoroetano (75%)
Clorodifluorometano (25%)</t>
  </si>
  <si>
    <t>R-435A</t>
  </si>
  <si>
    <r>
      <rPr>
        <sz val="10"/>
        <rFont val="Calibri"/>
        <family val="1"/>
      </rPr>
      <t>R-416A</t>
    </r>
  </si>
  <si>
    <r>
      <rPr>
        <sz val="10"/>
        <rFont val="Calibri"/>
        <family val="1"/>
      </rPr>
      <t>R-134a (59%)
HCFC-124 (39.5%)
R-600 (1.5%)</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</si>
  <si>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(59%)
C</t>
    </r>
    <r>
      <rPr>
        <vertAlign val="subscript"/>
        <sz val="10"/>
        <rFont val="Calibri"/>
        <family val="1"/>
      </rPr>
      <t>2</t>
    </r>
    <r>
      <rPr>
        <sz val="10"/>
        <rFont val="Calibri"/>
        <family val="1"/>
      </rPr>
      <t>HF</t>
    </r>
    <r>
      <rPr>
        <vertAlign val="subscript"/>
        <sz val="10"/>
        <rFont val="Calibri"/>
        <family val="1"/>
      </rPr>
      <t>4</t>
    </r>
    <r>
      <rPr>
        <sz val="10"/>
        <rFont val="Calibri"/>
        <family val="1"/>
      </rPr>
      <t>Cl (39.5%)
CH</t>
    </r>
    <r>
      <rPr>
        <vertAlign val="subscript"/>
        <sz val="10"/>
        <rFont val="Calibri"/>
        <family val="1"/>
      </rPr>
      <t>3</t>
    </r>
    <r>
      <rPr>
        <sz val="10"/>
        <rFont val="Calibri"/>
        <family val="1"/>
      </rPr>
      <t>CH</t>
    </r>
    <r>
      <rPr>
        <vertAlign val="subscript"/>
        <sz val="10"/>
        <rFont val="Calibri"/>
        <family val="1"/>
      </rPr>
      <t>2</t>
    </r>
    <r>
      <rPr>
        <sz val="10"/>
        <rFont val="Calibri"/>
        <family val="1"/>
      </rPr>
      <t>CH</t>
    </r>
    <r>
      <rPr>
        <vertAlign val="subscript"/>
        <sz val="10"/>
        <rFont val="Calibri"/>
        <family val="1"/>
      </rPr>
      <t>2</t>
    </r>
    <r>
      <rPr>
        <sz val="10"/>
        <rFont val="Calibri"/>
        <family val="1"/>
      </rPr>
      <t>CH</t>
    </r>
    <r>
      <rPr>
        <vertAlign val="subscript"/>
        <sz val="10"/>
        <rFont val="Calibri"/>
        <family val="1"/>
      </rPr>
      <t>3</t>
    </r>
    <r>
      <rPr>
        <sz val="10"/>
        <rFont val="Calibri"/>
        <family val="1"/>
      </rPr>
      <t xml:space="preserve"> (1.5%)</t>
    </r>
  </si>
  <si>
    <t>1,1,1,2-Tetrafluoroetano (59%)
2-Cloro-1,1,1,2-tetrafluoroetano (39.5%)
Butano (1.5%)</t>
  </si>
  <si>
    <t>R-436A</t>
  </si>
  <si>
    <r>
      <rPr>
        <sz val="10"/>
        <rFont val="Calibri"/>
        <family val="1"/>
      </rPr>
      <t>R-417A</t>
    </r>
  </si>
  <si>
    <r>
      <rPr>
        <sz val="10"/>
        <rFont val="Calibri"/>
        <family val="1"/>
      </rPr>
      <t>R-134a (50%)
R-125 (46.6%)
R-600 (3.4%)</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</si>
  <si>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(50%)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(46.6%)
C</t>
    </r>
    <r>
      <rPr>
        <vertAlign val="subscript"/>
        <sz val="10"/>
        <rFont val="Calibri"/>
        <family val="1"/>
      </rPr>
      <t>4</t>
    </r>
    <r>
      <rPr>
        <sz val="10"/>
        <rFont val="Calibri"/>
        <family val="1"/>
      </rPr>
      <t>H</t>
    </r>
    <r>
      <rPr>
        <vertAlign val="subscript"/>
        <sz val="10"/>
        <rFont val="Calibri"/>
        <family val="1"/>
      </rPr>
      <t>10</t>
    </r>
    <r>
      <rPr>
        <sz val="10"/>
        <rFont val="Calibri"/>
        <family val="1"/>
      </rPr>
      <t xml:space="preserve"> (3.4%)</t>
    </r>
  </si>
  <si>
    <t>1,1,1,2-Tetrafluoroetano (50%)
Pentafluoroetano (46.6%)
Butano (3.4%)</t>
  </si>
  <si>
    <t>R-436B</t>
  </si>
  <si>
    <r>
      <rPr>
        <sz val="10"/>
        <rFont val="Calibri"/>
        <family val="1"/>
      </rPr>
      <t>R-417B</t>
    </r>
  </si>
  <si>
    <r>
      <rPr>
        <sz val="10"/>
        <rFont val="Calibri"/>
        <family val="1"/>
      </rPr>
      <t>R-125 (79%)
R-134a (18.25%)
R-600 (2.75%)</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</si>
  <si>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(79%)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(18.25%)
C</t>
    </r>
    <r>
      <rPr>
        <vertAlign val="subscript"/>
        <sz val="10"/>
        <rFont val="Calibri"/>
        <family val="1"/>
      </rPr>
      <t>4</t>
    </r>
    <r>
      <rPr>
        <sz val="10"/>
        <rFont val="Calibri"/>
        <family val="1"/>
      </rPr>
      <t>H</t>
    </r>
    <r>
      <rPr>
        <vertAlign val="subscript"/>
        <sz val="10"/>
        <rFont val="Calibri"/>
        <family val="1"/>
      </rPr>
      <t>10</t>
    </r>
    <r>
      <rPr>
        <sz val="10"/>
        <rFont val="Calibri"/>
        <family val="1"/>
      </rPr>
      <t xml:space="preserve"> (2.75%)</t>
    </r>
  </si>
  <si>
    <t>Pentafluoroetano (79%)
1,1,1,2-Tetrafluoroetano (8.25%)
Butano (2.75%)</t>
  </si>
  <si>
    <t>R-437A</t>
  </si>
  <si>
    <r>
      <rPr>
        <sz val="10"/>
        <rFont val="Calibri"/>
        <family val="1"/>
      </rPr>
      <t>R-418A</t>
    </r>
  </si>
  <si>
    <r>
      <rPr>
        <sz val="10"/>
        <rFont val="Calibri"/>
        <family val="1"/>
      </rPr>
      <t>R-22 (96%)
R-152a (2.5%)
R-290 (1.5%)</t>
    </r>
  </si>
  <si>
    <r>
      <rPr>
        <sz val="10"/>
        <rFont val="Calibri"/>
        <family val="1"/>
      </rPr>
      <t>CHF</t>
    </r>
    <r>
      <rPr>
        <vertAlign val="subscript"/>
        <sz val="10"/>
        <rFont val="Calibri"/>
        <family val="1"/>
      </rPr>
      <t>2</t>
    </r>
    <r>
      <rPr>
        <sz val="10"/>
        <rFont val="Calibri"/>
        <family val="1"/>
      </rPr>
      <t>Cl (96%)
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(2.5%)
C</t>
    </r>
    <r>
      <rPr>
        <vertAlign val="subscript"/>
        <sz val="10"/>
        <rFont val="Calibri"/>
        <family val="1"/>
      </rPr>
      <t>3</t>
    </r>
    <r>
      <rPr>
        <sz val="10"/>
        <rFont val="Calibri"/>
        <family val="1"/>
      </rPr>
      <t>H</t>
    </r>
    <r>
      <rPr>
        <vertAlign val="subscript"/>
        <sz val="10"/>
        <rFont val="Calibri"/>
        <family val="1"/>
      </rPr>
      <t>8</t>
    </r>
    <r>
      <rPr>
        <sz val="10"/>
        <rFont val="Calibri"/>
        <family val="1"/>
      </rPr>
      <t xml:space="preserve"> (1.5%)</t>
    </r>
  </si>
  <si>
    <t>Clorodifluorometano (96%)
1,1-Difluoroetano (2.5%)
Propano (1.5%)</t>
  </si>
  <si>
    <t>R-438A</t>
  </si>
  <si>
    <r>
      <rPr>
        <sz val="10"/>
        <rFont val="Calibri"/>
        <family val="1"/>
      </rPr>
      <t>R-419A</t>
    </r>
  </si>
  <si>
    <r>
      <rPr>
        <sz val="10"/>
        <rFont val="Calibri"/>
        <family val="1"/>
      </rPr>
      <t>R-125 (77%)
R-134a (19%)
R-E170 (4%)</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</si>
  <si>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(77%)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(19%)
(CH</t>
    </r>
    <r>
      <rPr>
        <vertAlign val="subscript"/>
        <sz val="10"/>
        <rFont val="Calibri"/>
        <family val="1"/>
      </rPr>
      <t>3</t>
    </r>
    <r>
      <rPr>
        <sz val="10"/>
        <rFont val="Calibri"/>
        <family val="1"/>
      </rPr>
      <t>)</t>
    </r>
    <r>
      <rPr>
        <vertAlign val="subscript"/>
        <sz val="10"/>
        <rFont val="Calibri"/>
        <family val="1"/>
      </rPr>
      <t>2</t>
    </r>
    <r>
      <rPr>
        <sz val="10"/>
        <rFont val="Calibri"/>
        <family val="1"/>
      </rPr>
      <t>O (4%)</t>
    </r>
  </si>
  <si>
    <t>Pentafluoroetano (77%)
1,1,1,2-Tetrafluoroetano (19%)
Éter Dimetílico (4%)</t>
  </si>
  <si>
    <t>R-439A</t>
  </si>
  <si>
    <r>
      <rPr>
        <sz val="10"/>
        <rFont val="Calibri"/>
        <family val="1"/>
      </rPr>
      <t>R-420A</t>
    </r>
  </si>
  <si>
    <r>
      <rPr>
        <sz val="10"/>
        <rFont val="Calibri"/>
        <family val="1"/>
      </rPr>
      <t>R-134a (88%)
R-142b (12%)</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</si>
  <si>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(88%)
CH</t>
    </r>
    <r>
      <rPr>
        <vertAlign val="subscript"/>
        <sz val="10"/>
        <rFont val="Calibri"/>
        <family val="1"/>
      </rPr>
      <t>3</t>
    </r>
    <r>
      <rPr>
        <sz val="10"/>
        <rFont val="Calibri"/>
        <family val="1"/>
      </rPr>
      <t>CF</t>
    </r>
    <r>
      <rPr>
        <vertAlign val="subscript"/>
        <sz val="10"/>
        <rFont val="Calibri"/>
        <family val="1"/>
      </rPr>
      <t>2</t>
    </r>
    <r>
      <rPr>
        <sz val="10"/>
        <rFont val="Calibri"/>
        <family val="1"/>
      </rPr>
      <t>Cl (12%)</t>
    </r>
  </si>
  <si>
    <t>1,1,1,2-Tetrafluoroetano (88%)
1-Cloro-1,1-difluoroetano (12%)</t>
  </si>
  <si>
    <t>R-440A</t>
  </si>
  <si>
    <r>
      <rPr>
        <sz val="10"/>
        <rFont val="Calibri"/>
        <family val="1"/>
      </rPr>
      <t>R-421A</t>
    </r>
  </si>
  <si>
    <r>
      <rPr>
        <sz val="10"/>
        <rFont val="Calibri"/>
        <family val="1"/>
      </rPr>
      <t>R-125 (58%)
R-134a (42%)</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</si>
  <si>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(58%)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(42%)</t>
    </r>
  </si>
  <si>
    <t>Pentafluoroetano (58%)
1,1,1,2-Tetrafluoroetano (42%)</t>
  </si>
  <si>
    <t>R-441A</t>
  </si>
  <si>
    <r>
      <rPr>
        <sz val="10"/>
        <rFont val="Calibri"/>
        <family val="1"/>
      </rPr>
      <t>R-421B</t>
    </r>
  </si>
  <si>
    <r>
      <rPr>
        <sz val="10"/>
        <rFont val="Calibri"/>
        <family val="1"/>
      </rPr>
      <t>R-125 (85%)
R-134a (15%)</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</si>
  <si>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(85%)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(15%)</t>
    </r>
  </si>
  <si>
    <t>Pentafluoroetano (85%)
1,1,1,2-Tetrafluoroetano (15%)</t>
  </si>
  <si>
    <t>R-442A</t>
  </si>
  <si>
    <r>
      <rPr>
        <sz val="10"/>
        <rFont val="Calibri"/>
        <family val="1"/>
      </rPr>
      <t>R-422A</t>
    </r>
  </si>
  <si>
    <r>
      <rPr>
        <sz val="10"/>
        <rFont val="Calibri"/>
        <family val="1"/>
      </rPr>
      <t>R-125 (85.1%)
R-134a (11.5%)
R-600a (3.4%)</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</si>
  <si>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(85.1%)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(11.5%)
CH(CH</t>
    </r>
    <r>
      <rPr>
        <vertAlign val="subscript"/>
        <sz val="10"/>
        <rFont val="Calibri"/>
        <family val="1"/>
      </rPr>
      <t>3</t>
    </r>
    <r>
      <rPr>
        <sz val="10"/>
        <rFont val="Calibri"/>
        <family val="1"/>
      </rPr>
      <t>)</t>
    </r>
    <r>
      <rPr>
        <vertAlign val="subscript"/>
        <sz val="10"/>
        <rFont val="Calibri"/>
        <family val="1"/>
      </rPr>
      <t>3</t>
    </r>
    <r>
      <rPr>
        <sz val="10"/>
        <rFont val="Calibri"/>
        <family val="1"/>
      </rPr>
      <t xml:space="preserve"> (3.4%)</t>
    </r>
  </si>
  <si>
    <t>Pentafluoroetano (85.1%)
1,1,1,2-Tetrafluoroetano (11.5%)
Isobutano (3.4%)</t>
  </si>
  <si>
    <t>R-443A</t>
  </si>
  <si>
    <r>
      <rPr>
        <sz val="10"/>
        <rFont val="Calibri"/>
        <family val="1"/>
      </rPr>
      <t>R-422B</t>
    </r>
  </si>
  <si>
    <r>
      <rPr>
        <sz val="10"/>
        <rFont val="Calibri"/>
        <family val="1"/>
      </rPr>
      <t>R-125 (55%)
R-134a (42%)
R-600a (3%)</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</si>
  <si>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(55%)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(42%)
CH(CH</t>
    </r>
    <r>
      <rPr>
        <vertAlign val="subscript"/>
        <sz val="10"/>
        <rFont val="Calibri"/>
        <family val="1"/>
      </rPr>
      <t>3</t>
    </r>
    <r>
      <rPr>
        <sz val="10"/>
        <rFont val="Calibri"/>
        <family val="1"/>
      </rPr>
      <t>)</t>
    </r>
    <r>
      <rPr>
        <vertAlign val="subscript"/>
        <sz val="10"/>
        <rFont val="Calibri"/>
        <family val="1"/>
      </rPr>
      <t>3</t>
    </r>
    <r>
      <rPr>
        <sz val="10"/>
        <rFont val="Calibri"/>
        <family val="1"/>
      </rPr>
      <t xml:space="preserve"> (3%)</t>
    </r>
  </si>
  <si>
    <t>Pentafluoroetano (55%)
1,1,1,2-Tetrafluoroetano (42%)
Isobutano (3%)</t>
  </si>
  <si>
    <t>R-444A</t>
  </si>
  <si>
    <r>
      <rPr>
        <sz val="10"/>
        <rFont val="Calibri"/>
        <family val="1"/>
      </rPr>
      <t>R-422C</t>
    </r>
  </si>
  <si>
    <r>
      <rPr>
        <sz val="10"/>
        <rFont val="Calibri"/>
        <family val="1"/>
      </rPr>
      <t>R-125 (82%)
R-134a (15%)
R-600a (3%)</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</si>
  <si>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(82%)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(15%)
CH(CH</t>
    </r>
    <r>
      <rPr>
        <vertAlign val="subscript"/>
        <sz val="10"/>
        <rFont val="Calibri"/>
        <family val="1"/>
      </rPr>
      <t>3</t>
    </r>
    <r>
      <rPr>
        <sz val="10"/>
        <rFont val="Calibri"/>
        <family val="1"/>
      </rPr>
      <t>)</t>
    </r>
    <r>
      <rPr>
        <vertAlign val="subscript"/>
        <sz val="10"/>
        <rFont val="Calibri"/>
        <family val="1"/>
      </rPr>
      <t>3</t>
    </r>
    <r>
      <rPr>
        <sz val="10"/>
        <rFont val="Calibri"/>
        <family val="1"/>
      </rPr>
      <t xml:space="preserve"> (3%)</t>
    </r>
  </si>
  <si>
    <t>Pentafluoroetano (85%)
1,1,1,2-Tetrafluoroetano (15%)
Isobutano (3%)</t>
  </si>
  <si>
    <t>R-445A</t>
  </si>
  <si>
    <r>
      <rPr>
        <sz val="10"/>
        <rFont val="Calibri"/>
        <family val="1"/>
      </rPr>
      <t>R-422D</t>
    </r>
  </si>
  <si>
    <r>
      <rPr>
        <sz val="10"/>
        <rFont val="Calibri"/>
        <family val="1"/>
      </rPr>
      <t>R-125 (65.1%)
R-134a (31.5%)
R-600a (3.4%)</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</si>
  <si>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(65.1%)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(31.5%)
CH(CH</t>
    </r>
    <r>
      <rPr>
        <vertAlign val="subscript"/>
        <sz val="10"/>
        <rFont val="Calibri"/>
        <family val="1"/>
      </rPr>
      <t>3</t>
    </r>
    <r>
      <rPr>
        <sz val="10"/>
        <rFont val="Calibri"/>
        <family val="1"/>
      </rPr>
      <t>)</t>
    </r>
    <r>
      <rPr>
        <vertAlign val="subscript"/>
        <sz val="10"/>
        <rFont val="Calibri"/>
        <family val="1"/>
      </rPr>
      <t>3</t>
    </r>
    <r>
      <rPr>
        <sz val="10"/>
        <rFont val="Calibri"/>
        <family val="1"/>
      </rPr>
      <t xml:space="preserve"> (3.4%)</t>
    </r>
  </si>
  <si>
    <t>Pentafluoroetano (65.1%)
1,1,1,2-Tetrafluoroetano (31.5%)
Isobutano (3.4%)</t>
  </si>
  <si>
    <t>R-500</t>
  </si>
  <si>
    <r>
      <rPr>
        <sz val="10"/>
        <rFont val="Calibri"/>
        <family val="1"/>
      </rPr>
      <t>R-423A</t>
    </r>
  </si>
  <si>
    <r>
      <rPr>
        <sz val="10"/>
        <rFont val="Calibri"/>
        <family val="1"/>
      </rPr>
      <t>R-134a (52.5%)
HFC-227ea (47.5%)</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</si>
  <si>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(52.5%)
C</t>
    </r>
    <r>
      <rPr>
        <vertAlign val="subscript"/>
        <sz val="10"/>
        <rFont val="Calibri"/>
        <family val="1"/>
      </rPr>
      <t>3</t>
    </r>
    <r>
      <rPr>
        <sz val="10"/>
        <rFont val="Calibri"/>
        <family val="1"/>
      </rPr>
      <t>HF</t>
    </r>
    <r>
      <rPr>
        <vertAlign val="subscript"/>
        <sz val="10"/>
        <rFont val="Calibri"/>
        <family val="1"/>
      </rPr>
      <t>7</t>
    </r>
    <r>
      <rPr>
        <sz val="10"/>
        <rFont val="Calibri"/>
        <family val="1"/>
      </rPr>
      <t xml:space="preserve"> (47.5%)</t>
    </r>
  </si>
  <si>
    <t>1,1,1,2-Tetrafluoroetano (52.5%)
1,1,1,2,3,3,3-Heptafluoropropano (47.5%)</t>
  </si>
  <si>
    <t>R-501</t>
  </si>
  <si>
    <r>
      <rPr>
        <sz val="10"/>
        <rFont val="Calibri"/>
        <family val="1"/>
      </rPr>
      <t>R-424A</t>
    </r>
  </si>
  <si>
    <r>
      <rPr>
        <sz val="10"/>
        <rFont val="Calibri"/>
        <family val="1"/>
      </rPr>
      <t>R-125 (50.5%)
R-134a (47%)
R-600 (1%)
R-600a (0.9%)
R-601a (0.6%)</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</si>
  <si>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(50.5%)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(47%)
C</t>
    </r>
    <r>
      <rPr>
        <vertAlign val="subscript"/>
        <sz val="10"/>
        <rFont val="Calibri"/>
        <family val="1"/>
      </rPr>
      <t>4</t>
    </r>
    <r>
      <rPr>
        <sz val="10"/>
        <rFont val="Calibri"/>
        <family val="1"/>
      </rPr>
      <t>H</t>
    </r>
    <r>
      <rPr>
        <vertAlign val="subscript"/>
        <sz val="10"/>
        <rFont val="Calibri"/>
        <family val="1"/>
      </rPr>
      <t>10</t>
    </r>
    <r>
      <rPr>
        <sz val="10"/>
        <rFont val="Calibri"/>
        <family val="1"/>
      </rPr>
      <t xml:space="preserve"> (1%)
CH(CH</t>
    </r>
    <r>
      <rPr>
        <vertAlign val="subscript"/>
        <sz val="10"/>
        <rFont val="Calibri"/>
        <family val="1"/>
      </rPr>
      <t>3</t>
    </r>
    <r>
      <rPr>
        <sz val="10"/>
        <rFont val="Calibri"/>
        <family val="1"/>
      </rPr>
      <t>)</t>
    </r>
    <r>
      <rPr>
        <vertAlign val="subscript"/>
        <sz val="10"/>
        <rFont val="Calibri"/>
        <family val="1"/>
      </rPr>
      <t>3</t>
    </r>
    <r>
      <rPr>
        <sz val="10"/>
        <rFont val="Calibri"/>
        <family val="1"/>
      </rPr>
      <t xml:space="preserve"> (0.9%)
CH(CH</t>
    </r>
    <r>
      <rPr>
        <vertAlign val="subscript"/>
        <sz val="10"/>
        <rFont val="Calibri"/>
        <family val="1"/>
      </rPr>
      <t>3</t>
    </r>
    <r>
      <rPr>
        <sz val="10"/>
        <rFont val="Calibri"/>
        <family val="1"/>
      </rPr>
      <t>)</t>
    </r>
    <r>
      <rPr>
        <vertAlign val="subscript"/>
        <sz val="10"/>
        <rFont val="Calibri"/>
        <family val="1"/>
      </rPr>
      <t>2</t>
    </r>
    <r>
      <rPr>
        <sz val="10"/>
        <rFont val="Calibri"/>
        <family val="1"/>
      </rPr>
      <t>CH</t>
    </r>
    <r>
      <rPr>
        <vertAlign val="subscript"/>
        <sz val="10"/>
        <rFont val="Calibri"/>
        <family val="1"/>
      </rPr>
      <t>2</t>
    </r>
    <r>
      <rPr>
        <sz val="10"/>
        <rFont val="Calibri"/>
        <family val="1"/>
      </rPr>
      <t>CH</t>
    </r>
    <r>
      <rPr>
        <vertAlign val="subscript"/>
        <sz val="10"/>
        <rFont val="Calibri"/>
        <family val="1"/>
      </rPr>
      <t>3</t>
    </r>
    <r>
      <rPr>
        <sz val="10"/>
        <rFont val="Calibri"/>
        <family val="1"/>
      </rPr>
      <t xml:space="preserve"> (0.6%)</t>
    </r>
  </si>
  <si>
    <t>Pentafluoroetano (50.5%)
1,1,1,2-Tetrafluoroetano (47%)
Butano (1%)
Isobutano (0.9%)
Isopentano (0.6%)</t>
  </si>
  <si>
    <t>R-502</t>
  </si>
  <si>
    <r>
      <rPr>
        <sz val="10"/>
        <rFont val="Calibri"/>
        <family val="1"/>
      </rPr>
      <t>R-425A</t>
    </r>
  </si>
  <si>
    <r>
      <rPr>
        <sz val="10"/>
        <rFont val="Calibri"/>
        <family val="1"/>
      </rPr>
      <t>R-134a (69.5%)
R-32 (18.5%)
R-227ea (12%)</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</si>
  <si>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(69.5%)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(18.5%)
C</t>
    </r>
    <r>
      <rPr>
        <vertAlign val="subscript"/>
        <sz val="10"/>
        <rFont val="Calibri"/>
        <family val="1"/>
      </rPr>
      <t>3</t>
    </r>
    <r>
      <rPr>
        <sz val="10"/>
        <rFont val="Calibri"/>
        <family val="1"/>
      </rPr>
      <t>HF</t>
    </r>
    <r>
      <rPr>
        <vertAlign val="subscript"/>
        <sz val="10"/>
        <rFont val="Calibri"/>
        <family val="1"/>
      </rPr>
      <t>7</t>
    </r>
    <r>
      <rPr>
        <sz val="10"/>
        <rFont val="Calibri"/>
        <family val="1"/>
      </rPr>
      <t xml:space="preserve"> (12%)</t>
    </r>
  </si>
  <si>
    <t>1,1,1,2-Tetrafluoroetano (69.5%)
Difluorometano (18.5%)
1,1,1,2,3,3,3-Heptafluoropropano (12%)</t>
  </si>
  <si>
    <t>R-503</t>
  </si>
  <si>
    <r>
      <rPr>
        <sz val="10"/>
        <rFont val="Calibri"/>
        <family val="1"/>
      </rPr>
      <t>R-426A</t>
    </r>
  </si>
  <si>
    <r>
      <rPr>
        <sz val="10"/>
        <rFont val="Calibri"/>
        <family val="1"/>
      </rPr>
      <t>R-134a (93%)
R-125 (5.1%)
R-600 (1.3%)
R-601a (0.6%)</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</si>
  <si>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(93%)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(5.1%)
C</t>
    </r>
    <r>
      <rPr>
        <vertAlign val="subscript"/>
        <sz val="10"/>
        <rFont val="Calibri"/>
        <family val="1"/>
      </rPr>
      <t>4</t>
    </r>
    <r>
      <rPr>
        <sz val="10"/>
        <rFont val="Calibri"/>
        <family val="1"/>
      </rPr>
      <t>H</t>
    </r>
    <r>
      <rPr>
        <vertAlign val="subscript"/>
        <sz val="10"/>
        <rFont val="Calibri"/>
        <family val="1"/>
      </rPr>
      <t>10</t>
    </r>
    <r>
      <rPr>
        <sz val="10"/>
        <rFont val="Calibri"/>
        <family val="1"/>
      </rPr>
      <t xml:space="preserve"> (1.3%)
CH(CH</t>
    </r>
    <r>
      <rPr>
        <vertAlign val="subscript"/>
        <sz val="10"/>
        <rFont val="Calibri"/>
        <family val="1"/>
      </rPr>
      <t>3</t>
    </r>
    <r>
      <rPr>
        <sz val="10"/>
        <rFont val="Calibri"/>
        <family val="1"/>
      </rPr>
      <t>)</t>
    </r>
    <r>
      <rPr>
        <vertAlign val="subscript"/>
        <sz val="10"/>
        <rFont val="Calibri"/>
        <family val="1"/>
      </rPr>
      <t>2</t>
    </r>
    <r>
      <rPr>
        <sz val="10"/>
        <rFont val="Calibri"/>
        <family val="1"/>
      </rPr>
      <t>CH</t>
    </r>
    <r>
      <rPr>
        <vertAlign val="subscript"/>
        <sz val="10"/>
        <rFont val="Calibri"/>
        <family val="1"/>
      </rPr>
      <t>2</t>
    </r>
    <r>
      <rPr>
        <sz val="10"/>
        <rFont val="Calibri"/>
        <family val="1"/>
      </rPr>
      <t>CH</t>
    </r>
    <r>
      <rPr>
        <vertAlign val="subscript"/>
        <sz val="10"/>
        <rFont val="Calibri"/>
        <family val="1"/>
      </rPr>
      <t>3</t>
    </r>
    <r>
      <rPr>
        <sz val="10"/>
        <rFont val="Calibri"/>
        <family val="1"/>
      </rPr>
      <t xml:space="preserve"> (0.6%)</t>
    </r>
  </si>
  <si>
    <t>1,1,1,2-Tetrafluoroetano (93%)
Pentafluoroetano (5.1%)
Butano (1.3%)
Isopentano (0.6%)</t>
  </si>
  <si>
    <t>R-504</t>
  </si>
  <si>
    <r>
      <rPr>
        <sz val="10"/>
        <rFont val="Calibri"/>
        <family val="1"/>
      </rPr>
      <t>R-427A</t>
    </r>
  </si>
  <si>
    <r>
      <rPr>
        <sz val="10"/>
        <rFont val="Calibri"/>
        <family val="1"/>
      </rPr>
      <t>R-134a (50%)
R-125 (25%)
R-32 (15%)
R-143a (10%)</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</si>
  <si>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(50%)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(25%)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(15%)
C</t>
    </r>
    <r>
      <rPr>
        <vertAlign val="subscript"/>
        <sz val="10"/>
        <rFont val="Calibri"/>
        <family val="1"/>
      </rPr>
      <t>2</t>
    </r>
    <r>
      <rPr>
        <sz val="10"/>
        <rFont val="Calibri"/>
        <family val="1"/>
      </rPr>
      <t>H</t>
    </r>
    <r>
      <rPr>
        <vertAlign val="subscript"/>
        <sz val="10"/>
        <rFont val="Calibri"/>
        <family val="1"/>
      </rPr>
      <t>3</t>
    </r>
    <r>
      <rPr>
        <sz val="10"/>
        <rFont val="Calibri"/>
        <family val="1"/>
      </rPr>
      <t>F</t>
    </r>
    <r>
      <rPr>
        <vertAlign val="subscript"/>
        <sz val="10"/>
        <rFont val="Calibri"/>
        <family val="1"/>
      </rPr>
      <t>3</t>
    </r>
    <r>
      <rPr>
        <sz val="10"/>
        <rFont val="Calibri"/>
        <family val="1"/>
      </rPr>
      <t xml:space="preserve"> (10%)</t>
    </r>
  </si>
  <si>
    <t>1,1,1,2-Tetrafluoroetano (50%)
Pentafluoroetano (25%)
Difluorometano (15%)
1,1,1-Trifluoroetano (10%)</t>
  </si>
  <si>
    <t>R-505</t>
  </si>
  <si>
    <r>
      <rPr>
        <sz val="10"/>
        <rFont val="Calibri"/>
        <family val="1"/>
      </rPr>
      <t>R-428A</t>
    </r>
  </si>
  <si>
    <r>
      <rPr>
        <sz val="10"/>
        <rFont val="Calibri"/>
        <family val="1"/>
      </rPr>
      <t>R-125 (77.5%)
R-143a (20%)
R-600a (1.9%)
R-290 (0.6%)</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</si>
  <si>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(77.5%)
C</t>
    </r>
    <r>
      <rPr>
        <vertAlign val="subscript"/>
        <sz val="10"/>
        <rFont val="Calibri"/>
        <family val="1"/>
      </rPr>
      <t>2</t>
    </r>
    <r>
      <rPr>
        <sz val="10"/>
        <rFont val="Calibri"/>
        <family val="1"/>
      </rPr>
      <t>H</t>
    </r>
    <r>
      <rPr>
        <vertAlign val="subscript"/>
        <sz val="10"/>
        <rFont val="Calibri"/>
        <family val="1"/>
      </rPr>
      <t>3</t>
    </r>
    <r>
      <rPr>
        <sz val="10"/>
        <rFont val="Calibri"/>
        <family val="1"/>
      </rPr>
      <t>F</t>
    </r>
    <r>
      <rPr>
        <vertAlign val="subscript"/>
        <sz val="10"/>
        <rFont val="Calibri"/>
        <family val="1"/>
      </rPr>
      <t>3</t>
    </r>
    <r>
      <rPr>
        <sz val="10"/>
        <rFont val="Calibri"/>
        <family val="1"/>
      </rPr>
      <t xml:space="preserve"> (20%)
CH(CH</t>
    </r>
    <r>
      <rPr>
        <vertAlign val="subscript"/>
        <sz val="10"/>
        <rFont val="Calibri"/>
        <family val="1"/>
      </rPr>
      <t>3</t>
    </r>
    <r>
      <rPr>
        <sz val="10"/>
        <rFont val="Calibri"/>
        <family val="1"/>
      </rPr>
      <t>)</t>
    </r>
    <r>
      <rPr>
        <vertAlign val="subscript"/>
        <sz val="10"/>
        <rFont val="Calibri"/>
        <family val="1"/>
      </rPr>
      <t>3</t>
    </r>
    <r>
      <rPr>
        <sz val="10"/>
        <rFont val="Calibri"/>
        <family val="1"/>
      </rPr>
      <t xml:space="preserve"> (1.9%)
C</t>
    </r>
    <r>
      <rPr>
        <vertAlign val="subscript"/>
        <sz val="10"/>
        <rFont val="Calibri"/>
        <family val="1"/>
      </rPr>
      <t>3</t>
    </r>
    <r>
      <rPr>
        <sz val="10"/>
        <rFont val="Calibri"/>
        <family val="1"/>
      </rPr>
      <t>H</t>
    </r>
    <r>
      <rPr>
        <vertAlign val="subscript"/>
        <sz val="10"/>
        <rFont val="Calibri"/>
        <family val="1"/>
      </rPr>
      <t>8</t>
    </r>
    <r>
      <rPr>
        <sz val="10"/>
        <rFont val="Calibri"/>
        <family val="1"/>
      </rPr>
      <t xml:space="preserve"> (0.6%)</t>
    </r>
  </si>
  <si>
    <t>Pentafluoroetano (77.5%)
1,1,1-Trifluoroetano (20%)
Isobutano (1.9%)
Propano (0.6%)</t>
  </si>
  <si>
    <t>R-506</t>
  </si>
  <si>
    <r>
      <rPr>
        <sz val="10"/>
        <rFont val="Calibri"/>
        <family val="1"/>
      </rPr>
      <t>R-429A</t>
    </r>
  </si>
  <si>
    <r>
      <rPr>
        <sz val="10"/>
        <rFont val="Calibri"/>
        <family val="1"/>
      </rPr>
      <t>R-E170 (60%)
R-600a (30%)
R-152a (10%)</t>
    </r>
  </si>
  <si>
    <r>
      <rPr>
        <sz val="10"/>
        <rFont val="Calibri"/>
        <family val="1"/>
      </rPr>
      <t>(CH</t>
    </r>
    <r>
      <rPr>
        <vertAlign val="subscript"/>
        <sz val="10"/>
        <rFont val="Calibri"/>
        <family val="1"/>
      </rPr>
      <t>3</t>
    </r>
    <r>
      <rPr>
        <sz val="10"/>
        <rFont val="Calibri"/>
        <family val="1"/>
      </rPr>
      <t>)</t>
    </r>
    <r>
      <rPr>
        <vertAlign val="subscript"/>
        <sz val="10"/>
        <rFont val="Calibri"/>
        <family val="1"/>
      </rPr>
      <t>2</t>
    </r>
    <r>
      <rPr>
        <sz val="10"/>
        <rFont val="Calibri"/>
        <family val="1"/>
      </rPr>
      <t>O (60%)
CH(CH</t>
    </r>
    <r>
      <rPr>
        <vertAlign val="subscript"/>
        <sz val="10"/>
        <rFont val="Calibri"/>
        <family val="1"/>
      </rPr>
      <t>3</t>
    </r>
    <r>
      <rPr>
        <sz val="10"/>
        <rFont val="Calibri"/>
        <family val="1"/>
      </rPr>
      <t>)</t>
    </r>
    <r>
      <rPr>
        <vertAlign val="subscript"/>
        <sz val="10"/>
        <rFont val="Calibri"/>
        <family val="1"/>
      </rPr>
      <t>3</t>
    </r>
    <r>
      <rPr>
        <sz val="10"/>
        <rFont val="Calibri"/>
        <family val="1"/>
      </rPr>
      <t xml:space="preserve"> (30%)
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(10%)</t>
    </r>
  </si>
  <si>
    <t>Éter Dimetílico (60%)
Isobutano (30%)
1,1-Difluoroetano (10%)</t>
  </si>
  <si>
    <t>R-507 ou R-507A</t>
  </si>
  <si>
    <r>
      <rPr>
        <sz val="10"/>
        <rFont val="Calibri"/>
        <family val="1"/>
      </rPr>
      <t>R-430A</t>
    </r>
  </si>
  <si>
    <r>
      <rPr>
        <sz val="10"/>
        <rFont val="Calibri"/>
        <family val="1"/>
      </rPr>
      <t>R-152a (76%)
R-600a (24%)</t>
    </r>
  </si>
  <si>
    <r>
      <rPr>
        <sz val="10"/>
        <rFont val="Calibri"/>
        <family val="1"/>
      </rPr>
      <t>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(76%)
CH(CH</t>
    </r>
    <r>
      <rPr>
        <vertAlign val="subscript"/>
        <sz val="10"/>
        <rFont val="Calibri"/>
        <family val="1"/>
      </rPr>
      <t>3</t>
    </r>
    <r>
      <rPr>
        <sz val="10"/>
        <rFont val="Calibri"/>
        <family val="1"/>
      </rPr>
      <t>)</t>
    </r>
    <r>
      <rPr>
        <vertAlign val="subscript"/>
        <sz val="10"/>
        <rFont val="Calibri"/>
        <family val="1"/>
      </rPr>
      <t>3</t>
    </r>
    <r>
      <rPr>
        <sz val="10"/>
        <rFont val="Calibri"/>
        <family val="1"/>
      </rPr>
      <t xml:space="preserve"> (24%)</t>
    </r>
  </si>
  <si>
    <t>1,1-Difluoroetano (76%)
Isobutano (24%)</t>
  </si>
  <si>
    <t>R-508A</t>
  </si>
  <si>
    <r>
      <rPr>
        <sz val="10"/>
        <rFont val="Calibri"/>
        <family val="1"/>
      </rPr>
      <t>R-431A</t>
    </r>
  </si>
  <si>
    <r>
      <rPr>
        <sz val="10"/>
        <rFont val="Calibri"/>
        <family val="1"/>
      </rPr>
      <t>R-290 (71%)
R-152a (29%)</t>
    </r>
  </si>
  <si>
    <r>
      <rPr>
        <sz val="10"/>
        <rFont val="Calibri"/>
        <family val="1"/>
      </rPr>
      <t>C</t>
    </r>
    <r>
      <rPr>
        <vertAlign val="subscript"/>
        <sz val="10"/>
        <rFont val="Calibri"/>
        <family val="1"/>
      </rPr>
      <t>3</t>
    </r>
    <r>
      <rPr>
        <sz val="10"/>
        <rFont val="Calibri"/>
        <family val="1"/>
      </rPr>
      <t>H</t>
    </r>
    <r>
      <rPr>
        <vertAlign val="subscript"/>
        <sz val="10"/>
        <rFont val="Calibri"/>
        <family val="1"/>
      </rPr>
      <t>8</t>
    </r>
    <r>
      <rPr>
        <sz val="10"/>
        <rFont val="Calibri"/>
        <family val="1"/>
      </rPr>
      <t xml:space="preserve"> (71%)
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(29%)</t>
    </r>
  </si>
  <si>
    <r>
      <rPr>
        <sz val="10"/>
        <rFont val="Calibri"/>
        <family val="1"/>
      </rPr>
      <t>Propano (71%)
1,1 - Difluoroetano (29%)</t>
    </r>
  </si>
  <si>
    <t>R-508B</t>
  </si>
  <si>
    <r>
      <rPr>
        <sz val="10"/>
        <rFont val="Calibri"/>
        <family val="1"/>
      </rPr>
      <t>R-434A</t>
    </r>
  </si>
  <si>
    <t>R-125 (63.2%)
R-143a (18.0%)
R-134a (16.0%)
R-600a (2.8%)</t>
  </si>
  <si>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(63.2%)
C</t>
    </r>
    <r>
      <rPr>
        <vertAlign val="subscript"/>
        <sz val="10"/>
        <rFont val="Calibri"/>
        <family val="1"/>
      </rPr>
      <t>2</t>
    </r>
    <r>
      <rPr>
        <sz val="10"/>
        <rFont val="Calibri"/>
        <family val="1"/>
      </rPr>
      <t>H</t>
    </r>
    <r>
      <rPr>
        <vertAlign val="subscript"/>
        <sz val="10"/>
        <rFont val="Calibri"/>
        <family val="1"/>
      </rPr>
      <t>3</t>
    </r>
    <r>
      <rPr>
        <sz val="10"/>
        <rFont val="Calibri"/>
        <family val="1"/>
      </rPr>
      <t>F</t>
    </r>
    <r>
      <rPr>
        <vertAlign val="subscript"/>
        <sz val="10"/>
        <rFont val="Calibri"/>
        <family val="1"/>
      </rPr>
      <t>3</t>
    </r>
    <r>
      <rPr>
        <sz val="10"/>
        <rFont val="Calibri"/>
        <family val="1"/>
      </rPr>
      <t xml:space="preserve"> (18.0%)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(16.0%)
CH(CH</t>
    </r>
    <r>
      <rPr>
        <vertAlign val="subscript"/>
        <sz val="10"/>
        <rFont val="Calibri"/>
        <family val="1"/>
      </rPr>
      <t>3</t>
    </r>
    <r>
      <rPr>
        <sz val="10"/>
        <rFont val="Calibri"/>
        <family val="1"/>
      </rPr>
      <t>)</t>
    </r>
    <r>
      <rPr>
        <vertAlign val="subscript"/>
        <sz val="10"/>
        <rFont val="Calibri"/>
        <family val="1"/>
      </rPr>
      <t>3</t>
    </r>
    <r>
      <rPr>
        <sz val="10"/>
        <rFont val="Calibri"/>
        <family val="1"/>
      </rPr>
      <t xml:space="preserve"> (2.8%)</t>
    </r>
  </si>
  <si>
    <r>
      <rPr>
        <sz val="10"/>
        <rFont val="Calibri"/>
        <family val="1"/>
      </rPr>
      <t>Pentafluoroetano (63.2%)
1,1,1-Trifluoroetano (18.0%)
1,1,1,2-Tetrafluoroetano (16.0%)
Isobutano (2.8%)</t>
    </r>
  </si>
  <si>
    <t>R-509 ou R-509A</t>
  </si>
  <si>
    <r>
      <rPr>
        <sz val="10"/>
        <rFont val="Calibri"/>
        <family val="1"/>
      </rPr>
      <t>R-435A</t>
    </r>
  </si>
  <si>
    <r>
      <rPr>
        <sz val="10"/>
        <rFont val="Calibri"/>
        <family val="1"/>
      </rPr>
      <t>R-E170 (80%)
R-152a (20%)</t>
    </r>
  </si>
  <si>
    <r>
      <rPr>
        <sz val="10"/>
        <rFont val="Calibri"/>
        <family val="1"/>
      </rPr>
      <t>(CH</t>
    </r>
    <r>
      <rPr>
        <vertAlign val="subscript"/>
        <sz val="10"/>
        <rFont val="Calibri"/>
        <family val="1"/>
      </rPr>
      <t>3</t>
    </r>
    <r>
      <rPr>
        <sz val="10"/>
        <rFont val="Calibri"/>
        <family val="1"/>
      </rPr>
      <t>)</t>
    </r>
    <r>
      <rPr>
        <vertAlign val="subscript"/>
        <sz val="10"/>
        <rFont val="Calibri"/>
        <family val="1"/>
      </rPr>
      <t>2</t>
    </r>
    <r>
      <rPr>
        <sz val="10"/>
        <rFont val="Calibri"/>
        <family val="1"/>
      </rPr>
      <t>O (80%)
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(20%)</t>
    </r>
  </si>
  <si>
    <r>
      <rPr>
        <sz val="10"/>
        <rFont val="Calibri"/>
        <family val="1"/>
      </rPr>
      <t>Éter Dimetílico (80%)
1,1-Difluoroetano (20%)</t>
    </r>
  </si>
  <si>
    <t>R-510A</t>
  </si>
  <si>
    <r>
      <rPr>
        <sz val="10"/>
        <rFont val="Calibri"/>
        <family val="1"/>
      </rPr>
      <t>R-437A</t>
    </r>
  </si>
  <si>
    <r>
      <rPr>
        <sz val="10"/>
        <rFont val="Calibri"/>
        <family val="1"/>
      </rPr>
      <t>R-134a (78.5%)
R-125 (19.5%)
R-600 (1.4%)
C5H12 (0.6%)</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</si>
  <si>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(78.5%)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(19.5%)
C</t>
    </r>
    <r>
      <rPr>
        <vertAlign val="subscript"/>
        <sz val="10"/>
        <rFont val="Calibri"/>
        <family val="1"/>
      </rPr>
      <t>4</t>
    </r>
    <r>
      <rPr>
        <sz val="10"/>
        <rFont val="Calibri"/>
        <family val="1"/>
      </rPr>
      <t>H</t>
    </r>
    <r>
      <rPr>
        <vertAlign val="subscript"/>
        <sz val="10"/>
        <rFont val="Calibri"/>
        <family val="1"/>
      </rPr>
      <t>10</t>
    </r>
    <r>
      <rPr>
        <sz val="10"/>
        <rFont val="Calibri"/>
        <family val="1"/>
      </rPr>
      <t xml:space="preserve"> (1.4%)
C</t>
    </r>
    <r>
      <rPr>
        <vertAlign val="subscript"/>
        <sz val="10"/>
        <rFont val="Calibri"/>
        <family val="1"/>
      </rPr>
      <t>5</t>
    </r>
    <r>
      <rPr>
        <sz val="10"/>
        <rFont val="Calibri"/>
        <family val="1"/>
      </rPr>
      <t>H</t>
    </r>
    <r>
      <rPr>
        <vertAlign val="subscript"/>
        <sz val="10"/>
        <rFont val="Calibri"/>
        <family val="1"/>
      </rPr>
      <t>12</t>
    </r>
    <r>
      <rPr>
        <sz val="10"/>
        <rFont val="Calibri"/>
        <family val="1"/>
      </rPr>
      <t xml:space="preserve"> (0.6%)</t>
    </r>
  </si>
  <si>
    <r>
      <rPr>
        <sz val="10"/>
        <rFont val="Calibri"/>
        <family val="1"/>
      </rPr>
      <t>1,1,1,2-Tetrafluoroetano (78.5%)
Pentafluoroetano (19.5%)
Butano (1.4%)
Pentano (0.6%)</t>
    </r>
  </si>
  <si>
    <t>R-511A</t>
  </si>
  <si>
    <r>
      <rPr>
        <sz val="10"/>
        <rFont val="Calibri"/>
        <family val="1"/>
      </rPr>
      <t>Isceon MO89</t>
    </r>
  </si>
  <si>
    <r>
      <rPr>
        <sz val="10"/>
        <rFont val="Calibri"/>
        <family val="1"/>
      </rPr>
      <t>R-125 (86%)
PFC-218 (9%)
R-290 (5%)</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</si>
  <si>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(86%)
C</t>
    </r>
    <r>
      <rPr>
        <vertAlign val="subscript"/>
        <sz val="10"/>
        <rFont val="Calibri"/>
        <family val="1"/>
      </rPr>
      <t>3</t>
    </r>
    <r>
      <rPr>
        <sz val="10"/>
        <rFont val="Calibri"/>
        <family val="1"/>
      </rPr>
      <t>F</t>
    </r>
    <r>
      <rPr>
        <vertAlign val="subscript"/>
        <sz val="10"/>
        <rFont val="Calibri"/>
        <family val="1"/>
      </rPr>
      <t>8</t>
    </r>
    <r>
      <rPr>
        <sz val="10"/>
        <rFont val="Calibri"/>
        <family val="1"/>
      </rPr>
      <t xml:space="preserve"> (9%)
CH</t>
    </r>
    <r>
      <rPr>
        <vertAlign val="subscript"/>
        <sz val="10"/>
        <rFont val="Calibri"/>
        <family val="1"/>
      </rPr>
      <t>3</t>
    </r>
    <r>
      <rPr>
        <sz val="10"/>
        <rFont val="Calibri"/>
        <family val="1"/>
      </rPr>
      <t>CH</t>
    </r>
    <r>
      <rPr>
        <vertAlign val="subscript"/>
        <sz val="10"/>
        <rFont val="Calibri"/>
        <family val="1"/>
      </rPr>
      <t>2</t>
    </r>
    <r>
      <rPr>
        <sz val="10"/>
        <rFont val="Calibri"/>
        <family val="1"/>
      </rPr>
      <t>CH</t>
    </r>
    <r>
      <rPr>
        <vertAlign val="subscript"/>
        <sz val="10"/>
        <rFont val="Calibri"/>
        <family val="1"/>
      </rPr>
      <t>3</t>
    </r>
    <r>
      <rPr>
        <sz val="10"/>
        <rFont val="Calibri"/>
        <family val="1"/>
      </rPr>
      <t xml:space="preserve"> (5%)</t>
    </r>
  </si>
  <si>
    <r>
      <rPr>
        <sz val="10"/>
        <rFont val="Calibri"/>
        <family val="1"/>
      </rPr>
      <t>Pentafluoroetano (86%)
Octafluoropropano (9%)
Propano (5%)</t>
    </r>
  </si>
  <si>
    <t>R-512A</t>
  </si>
  <si>
    <r>
      <rPr>
        <sz val="10"/>
        <rFont val="Calibri"/>
        <family val="1"/>
      </rPr>
      <t>R-438A</t>
    </r>
  </si>
  <si>
    <r>
      <rPr>
        <sz val="10"/>
        <rFont val="Calibri"/>
        <family val="1"/>
      </rPr>
      <t>R-125 (45%)
R-134a (44.2%)
R-32 (8.5%)
R-600 (1.7%)</t>
    </r>
  </si>
  <si>
    <r>
      <rPr>
        <sz val="10"/>
        <rFont val="Calibri"/>
        <family val="1"/>
      </rPr>
      <t>Pentafluoroetano (45%)
1,1,1,2-Tetrafluoroetano (44.2%)
Difluorometano (8.5%)
Butano (1.7%)</t>
    </r>
  </si>
  <si>
    <t>CFC-11</t>
  </si>
  <si>
    <t>CFC</t>
  </si>
  <si>
    <t>IPCC 2013</t>
  </si>
  <si>
    <r>
      <rPr>
        <sz val="10"/>
        <rFont val="Calibri"/>
        <family val="1"/>
      </rPr>
      <t>R-442A</t>
    </r>
  </si>
  <si>
    <r>
      <rPr>
        <sz val="10"/>
        <rFont val="Calibri"/>
        <family val="1"/>
      </rPr>
      <t>R-32 (31%)
R-125 (31%)
R-134a (30%)
R-227ea (5%)
R-152a (3%)</t>
    </r>
  </si>
  <si>
    <r>
      <rPr>
        <sz val="10"/>
        <rFont val="Calibri"/>
        <family val="1"/>
      </rPr>
      <t>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(31%)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(31%)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(30%)
C</t>
    </r>
    <r>
      <rPr>
        <vertAlign val="subscript"/>
        <sz val="10"/>
        <rFont val="Calibri"/>
        <family val="1"/>
      </rPr>
      <t>3</t>
    </r>
    <r>
      <rPr>
        <sz val="10"/>
        <rFont val="Calibri"/>
        <family val="1"/>
      </rPr>
      <t>HF</t>
    </r>
    <r>
      <rPr>
        <vertAlign val="subscript"/>
        <sz val="10"/>
        <rFont val="Calibri"/>
        <family val="1"/>
      </rPr>
      <t>7</t>
    </r>
    <r>
      <rPr>
        <sz val="10"/>
        <rFont val="Calibri"/>
        <family val="1"/>
      </rPr>
      <t xml:space="preserve"> (5%)
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(3%)</t>
    </r>
  </si>
  <si>
    <r>
      <rPr>
        <sz val="10"/>
        <rFont val="Calibri"/>
        <family val="1"/>
      </rPr>
      <t>Difluorometano (31%)
Pentafluoroetano (31%)
1,1,1,2-Tetrafluoroetano (30%)
1,1,1,2,3,3,3-Heptafluoropropano (5%)
1,1-Difluoroetano (3%)</t>
    </r>
  </si>
  <si>
    <t>CFC-12</t>
  </si>
  <si>
    <r>
      <rPr>
        <sz val="10"/>
        <rFont val="Calibri"/>
        <family val="1"/>
      </rPr>
      <t>R-444B</t>
    </r>
  </si>
  <si>
    <r>
      <rPr>
        <sz val="10"/>
        <rFont val="Calibri"/>
        <family val="1"/>
      </rPr>
      <t>R-1234ze (48.5%)
R-32 (41.5%)
R-152a (10%)</t>
    </r>
  </si>
  <si>
    <r>
      <rPr>
        <sz val="10"/>
        <rFont val="Calibri"/>
        <family val="1"/>
      </rPr>
      <t>trans-CHF=CHCF3 (48.5%)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(41.5%)
C</t>
    </r>
    <r>
      <rPr>
        <vertAlign val="subscript"/>
        <sz val="10"/>
        <rFont val="Calibri"/>
        <family val="1"/>
      </rPr>
      <t>2</t>
    </r>
    <r>
      <rPr>
        <sz val="10"/>
        <rFont val="Calibri"/>
        <family val="1"/>
      </rPr>
      <t>H</t>
    </r>
    <r>
      <rPr>
        <vertAlign val="subscript"/>
        <sz val="10"/>
        <rFont val="Calibri"/>
        <family val="1"/>
      </rPr>
      <t>4</t>
    </r>
    <r>
      <rPr>
        <sz val="10"/>
        <rFont val="Calibri"/>
        <family val="1"/>
      </rPr>
      <t>F</t>
    </r>
    <r>
      <rPr>
        <vertAlign val="subscript"/>
        <sz val="10"/>
        <rFont val="Calibri"/>
        <family val="1"/>
      </rPr>
      <t>2</t>
    </r>
    <r>
      <rPr>
        <sz val="10"/>
        <rFont val="Calibri"/>
        <family val="1"/>
      </rPr>
      <t xml:space="preserve"> (10%)</t>
    </r>
  </si>
  <si>
    <r>
      <rPr>
        <sz val="10"/>
        <rFont val="Calibri"/>
        <family val="1"/>
      </rPr>
      <t>Trans-1,3,3,3-Tetrafluoropropeno (48.5%)
Difluorometano (41.5%)
1,1-Difluoroetano (10%)</t>
    </r>
  </si>
  <si>
    <t>CFC-13</t>
  </si>
  <si>
    <r>
      <rPr>
        <sz val="10"/>
        <rFont val="Calibri"/>
        <family val="1"/>
      </rPr>
      <t>R-448A</t>
    </r>
  </si>
  <si>
    <r>
      <rPr>
        <sz val="10"/>
        <rFont val="Calibri"/>
        <family val="1"/>
      </rPr>
      <t>R-32 (26%)
R-125 (26%)
R-134a (21%)
R-1234yf (20%)
R-1234ze (7%)</t>
    </r>
  </si>
  <si>
    <r>
      <rPr>
        <sz val="10"/>
        <rFont val="Calibri"/>
        <family val="1"/>
      </rPr>
      <t>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(26%)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(26%)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(21%)
CF</t>
    </r>
    <r>
      <rPr>
        <vertAlign val="subscript"/>
        <sz val="10"/>
        <rFont val="Calibri"/>
        <family val="1"/>
      </rPr>
      <t>3</t>
    </r>
    <r>
      <rPr>
        <sz val="10"/>
        <rFont val="Calibri"/>
        <family val="1"/>
      </rPr>
      <t>CF=CH</t>
    </r>
    <r>
      <rPr>
        <vertAlign val="subscript"/>
        <sz val="10"/>
        <rFont val="Calibri"/>
        <family val="1"/>
      </rPr>
      <t>2</t>
    </r>
    <r>
      <rPr>
        <sz val="10"/>
        <rFont val="Calibri"/>
        <family val="1"/>
      </rPr>
      <t xml:space="preserve"> (20%)
trans-CHF=CHCF</t>
    </r>
    <r>
      <rPr>
        <vertAlign val="subscript"/>
        <sz val="10"/>
        <rFont val="Calibri"/>
        <family val="1"/>
      </rPr>
      <t>3</t>
    </r>
    <r>
      <rPr>
        <sz val="10"/>
        <rFont val="Calibri"/>
        <family val="1"/>
      </rPr>
      <t xml:space="preserve"> (7%)</t>
    </r>
  </si>
  <si>
    <r>
      <rPr>
        <sz val="10"/>
        <rFont val="Calibri"/>
        <family val="1"/>
      </rPr>
      <t>Difluorometano (26%)
Pentafluoroetano (26%)
1,1,1,2-Tetrafluoroetano (21%)
2,3,3,3-Tetrafluoropropeno (20%)
Trans-1,3,3,3-Tetrafluoropropeno (7%)</t>
    </r>
  </si>
  <si>
    <t>CFC-113</t>
  </si>
  <si>
    <r>
      <rPr>
        <sz val="10"/>
        <rFont val="Calibri"/>
        <family val="1"/>
      </rPr>
      <t>R-449A</t>
    </r>
  </si>
  <si>
    <r>
      <rPr>
        <sz val="10"/>
        <rFont val="Calibri"/>
        <family val="1"/>
      </rPr>
      <t>R-134a (25.7%)
R-1234yf (25.3%)
R-125 (24.7%)
R-32 (24.3%)</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</si>
  <si>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(25.7%)
CF</t>
    </r>
    <r>
      <rPr>
        <vertAlign val="subscript"/>
        <sz val="10"/>
        <rFont val="Calibri"/>
        <family val="1"/>
      </rPr>
      <t>3</t>
    </r>
    <r>
      <rPr>
        <sz val="10"/>
        <rFont val="Calibri"/>
        <family val="1"/>
      </rPr>
      <t>CF=CH</t>
    </r>
    <r>
      <rPr>
        <vertAlign val="subscript"/>
        <sz val="10"/>
        <rFont val="Calibri"/>
        <family val="1"/>
      </rPr>
      <t>2</t>
    </r>
    <r>
      <rPr>
        <sz val="10"/>
        <rFont val="Calibri"/>
        <family val="1"/>
      </rPr>
      <t xml:space="preserve"> (25.3%)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(24.7%)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(24.3%)</t>
    </r>
  </si>
  <si>
    <r>
      <rPr>
        <sz val="10"/>
        <rFont val="Calibri"/>
        <family val="1"/>
      </rPr>
      <t>1,1,1,2-Tetrafluoroetano (25.7%)
2,3,3,3-Tetrafluropropeno (25.3%)
Pentafluoroetano (24.7%)
Difluorometano (24.3%)</t>
    </r>
  </si>
  <si>
    <t>CFC-114</t>
  </si>
  <si>
    <r>
      <rPr>
        <sz val="10"/>
        <rFont val="Calibri"/>
        <family val="1"/>
      </rPr>
      <t>R-450A</t>
    </r>
  </si>
  <si>
    <r>
      <rPr>
        <sz val="10"/>
        <rFont val="Calibri"/>
        <family val="1"/>
      </rPr>
      <t>R-1234ze (58%)
R-134a (42%)</t>
    </r>
  </si>
  <si>
    <r>
      <rPr>
        <sz val="10"/>
        <rFont val="Calibri"/>
        <family val="1"/>
      </rPr>
      <t>trans-CHF=CHCF3 (58%)
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(42%)</t>
    </r>
  </si>
  <si>
    <r>
      <rPr>
        <sz val="10"/>
        <rFont val="Calibri"/>
        <family val="1"/>
      </rPr>
      <t>Trans-1,3,3,3-Tetrafluoropropeno (58%)
1,1,1,2-Tetrafluoroetano (42%)</t>
    </r>
  </si>
  <si>
    <t>CFC-115</t>
  </si>
  <si>
    <r>
      <rPr>
        <sz val="10"/>
        <rFont val="Calibri"/>
        <family val="1"/>
      </rPr>
      <t>R-452A</t>
    </r>
  </si>
  <si>
    <r>
      <rPr>
        <sz val="10"/>
        <rFont val="Calibri"/>
        <family val="1"/>
      </rPr>
      <t>R-1234yf (30%)
R-125 (59%)
R-32 (11%)</t>
    </r>
  </si>
  <si>
    <r>
      <rPr>
        <sz val="10"/>
        <rFont val="Calibri"/>
        <family val="1"/>
      </rPr>
      <t>CF3CF=CH2 (30%)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(59%)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(11%)</t>
    </r>
  </si>
  <si>
    <r>
      <rPr>
        <sz val="10"/>
        <rFont val="Calibri"/>
        <family val="1"/>
      </rPr>
      <t>2,3,3,3-Tetrafluoropropeno (30%)
Pentafluoroetano (59%)
Difluorometano (11%)</t>
    </r>
  </si>
  <si>
    <t>Halon-1301</t>
  </si>
  <si>
    <t>--</t>
  </si>
  <si>
    <r>
      <rPr>
        <sz val="10"/>
        <rFont val="Calibri"/>
        <family val="1"/>
      </rPr>
      <t>R-452B</t>
    </r>
  </si>
  <si>
    <r>
      <rPr>
        <sz val="10"/>
        <rFont val="Calibri"/>
        <family val="1"/>
      </rPr>
      <t>R-1234yf (26%)
R-125 (7%)
R-32 (67%)</t>
    </r>
  </si>
  <si>
    <r>
      <rPr>
        <sz val="10"/>
        <rFont val="Calibri"/>
        <family val="1"/>
      </rPr>
      <t>CF3CF=CH2 (26%)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(7%)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(67%)</t>
    </r>
  </si>
  <si>
    <r>
      <rPr>
        <sz val="10"/>
        <rFont val="Calibri"/>
        <family val="1"/>
      </rPr>
      <t>2,3,3,3-Tetrafluoropropeno (26%)
Pentafluoroetano (7%)
Difluorometano (67%)</t>
    </r>
  </si>
  <si>
    <t>Halon-1211</t>
  </si>
  <si>
    <r>
      <rPr>
        <sz val="10"/>
        <rFont val="Calibri"/>
        <family val="1"/>
      </rPr>
      <t>R-453A</t>
    </r>
  </si>
  <si>
    <r>
      <rPr>
        <sz val="10"/>
        <rFont val="Calibri"/>
        <family val="1"/>
      </rPr>
      <t>R-134a (53.8%)
R-32 (20%)
R-125 (20%)
R-227ea (5%)
R-601a (0,6%)
R-600 (0,6%)</t>
    </r>
  </si>
  <si>
    <r>
      <rPr>
        <sz val="10"/>
        <rFont val="Calibri"/>
        <family val="1"/>
      </rPr>
      <t>CH</t>
    </r>
    <r>
      <rPr>
        <vertAlign val="subscript"/>
        <sz val="10"/>
        <rFont val="Calibri"/>
        <family val="1"/>
      </rPr>
      <t>2</t>
    </r>
    <r>
      <rPr>
        <sz val="10"/>
        <rFont val="Calibri"/>
        <family val="1"/>
      </rPr>
      <t>FCF</t>
    </r>
    <r>
      <rPr>
        <vertAlign val="subscript"/>
        <sz val="10"/>
        <rFont val="Calibri"/>
        <family val="1"/>
      </rPr>
      <t>3</t>
    </r>
    <r>
      <rPr>
        <sz val="10"/>
        <rFont val="Calibri"/>
        <family val="1"/>
      </rPr>
      <t xml:space="preserve"> (53,8%)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(20%)
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(20%)
CH(CH3)3 (5%)
CH(CH3)2CH2CH3 (0.6%)
C4H10 (0,6%)</t>
    </r>
  </si>
  <si>
    <r>
      <rPr>
        <sz val="10"/>
        <rFont val="Calibri"/>
        <family val="1"/>
      </rPr>
      <t>1,1,1,2-Tetrafluoroetano (53,8%)
Difluorometano (20%)
Pentafluoroetano (20%) 1,1,1,2,3,3,3-Heptafluoropropano(5) Isopentano (0.6%)
butano (0.9%)</t>
    </r>
  </si>
  <si>
    <t>Halon-2402</t>
  </si>
  <si>
    <r>
      <rPr>
        <sz val="10"/>
        <rFont val="Calibri"/>
        <family val="1"/>
      </rPr>
      <t>R-454B</t>
    </r>
  </si>
  <si>
    <r>
      <rPr>
        <sz val="10"/>
        <rFont val="Calibri"/>
        <family val="1"/>
      </rPr>
      <t>R-1234yf (31,1%)
R-32 (68,9%)</t>
    </r>
  </si>
  <si>
    <r>
      <rPr>
        <sz val="10"/>
        <rFont val="Calibri"/>
        <family val="1"/>
      </rPr>
      <t>CF3CF=CH2 (31,1%)
CH</t>
    </r>
    <r>
      <rPr>
        <vertAlign val="subscript"/>
        <sz val="10"/>
        <rFont val="Calibri"/>
        <family val="1"/>
      </rPr>
      <t>2</t>
    </r>
    <r>
      <rPr>
        <sz val="10"/>
        <rFont val="Calibri"/>
        <family val="1"/>
      </rPr>
      <t>F</t>
    </r>
    <r>
      <rPr>
        <vertAlign val="subscript"/>
        <sz val="10"/>
        <rFont val="Calibri"/>
        <family val="1"/>
      </rPr>
      <t>2</t>
    </r>
    <r>
      <rPr>
        <sz val="10"/>
        <rFont val="Calibri"/>
        <family val="1"/>
      </rPr>
      <t xml:space="preserve"> (68,9%)</t>
    </r>
  </si>
  <si>
    <r>
      <rPr>
        <sz val="10"/>
        <rFont val="Calibri"/>
        <family val="1"/>
      </rPr>
      <t>2,3,3,3-Tetrafluoropropeno (31,1%)
Difluorometano (68,9%)</t>
    </r>
  </si>
  <si>
    <r>
      <t>Tetracloreto de carbono (CCl</t>
    </r>
    <r>
      <rPr>
        <vertAlign val="subscript"/>
        <sz val="11"/>
        <rFont val="Calibri"/>
        <family val="2"/>
        <scheme val="minor"/>
      </rPr>
      <t>4</t>
    </r>
    <r>
      <rPr>
        <sz val="11"/>
        <rFont val="Calibri"/>
        <family val="2"/>
        <scheme val="minor"/>
      </rPr>
      <t>)</t>
    </r>
  </si>
  <si>
    <r>
      <rPr>
        <sz val="10"/>
        <rFont val="Calibri"/>
        <family val="1"/>
      </rPr>
      <t>R-469A</t>
    </r>
  </si>
  <si>
    <r>
      <rPr>
        <sz val="10"/>
        <rFont val="Calibri"/>
        <family val="1"/>
      </rPr>
      <t>R-744 (35%)
R-32 (32,5%)
R-125 (32,5%)</t>
    </r>
  </si>
  <si>
    <t>CO2 (35%)
CH2F2 (32,5%)
C2HF5 (32,5%)</t>
  </si>
  <si>
    <r>
      <rPr>
        <sz val="10"/>
        <rFont val="Calibri"/>
        <family val="1"/>
      </rPr>
      <t>Dióxido de Carbono (35%) Difluorometano (32,5%)
Pentafluoroetano (32,5%)</t>
    </r>
  </si>
  <si>
    <r>
      <t>Bromometano (CH</t>
    </r>
    <r>
      <rPr>
        <vertAlign val="subscript"/>
        <sz val="11"/>
        <rFont val="Calibri"/>
        <family val="2"/>
        <scheme val="minor"/>
      </rPr>
      <t>3</t>
    </r>
    <r>
      <rPr>
        <sz val="11"/>
        <rFont val="Calibri"/>
        <family val="2"/>
        <scheme val="minor"/>
      </rPr>
      <t>Br)</t>
    </r>
  </si>
  <si>
    <r>
      <rPr>
        <sz val="10"/>
        <rFont val="Calibri"/>
        <family val="1"/>
      </rPr>
      <t>R-507A</t>
    </r>
  </si>
  <si>
    <r>
      <rPr>
        <sz val="10"/>
        <rFont val="Calibri"/>
        <family val="1"/>
      </rPr>
      <t>R-125 (50%)
R-143a (50%)</t>
    </r>
  </si>
  <si>
    <r>
      <rPr>
        <sz val="10"/>
        <rFont val="Calibri"/>
        <family val="1"/>
      </rPr>
      <t>C</t>
    </r>
    <r>
      <rPr>
        <vertAlign val="subscript"/>
        <sz val="10"/>
        <rFont val="Calibri"/>
        <family val="1"/>
      </rPr>
      <t>2</t>
    </r>
    <r>
      <rPr>
        <sz val="10"/>
        <rFont val="Calibri"/>
        <family val="1"/>
      </rPr>
      <t>HF</t>
    </r>
    <r>
      <rPr>
        <vertAlign val="subscript"/>
        <sz val="10"/>
        <rFont val="Calibri"/>
        <family val="1"/>
      </rPr>
      <t>5</t>
    </r>
    <r>
      <rPr>
        <sz val="10"/>
        <rFont val="Calibri"/>
        <family val="1"/>
      </rPr>
      <t xml:space="preserve"> (50%)
C</t>
    </r>
    <r>
      <rPr>
        <vertAlign val="subscript"/>
        <sz val="10"/>
        <rFont val="Calibri"/>
        <family val="1"/>
      </rPr>
      <t>2</t>
    </r>
    <r>
      <rPr>
        <sz val="10"/>
        <rFont val="Calibri"/>
        <family val="1"/>
      </rPr>
      <t>H</t>
    </r>
    <r>
      <rPr>
        <vertAlign val="subscript"/>
        <sz val="10"/>
        <rFont val="Calibri"/>
        <family val="1"/>
      </rPr>
      <t>3</t>
    </r>
    <r>
      <rPr>
        <sz val="10"/>
        <rFont val="Calibri"/>
        <family val="1"/>
      </rPr>
      <t>F</t>
    </r>
    <r>
      <rPr>
        <vertAlign val="subscript"/>
        <sz val="10"/>
        <rFont val="Calibri"/>
        <family val="1"/>
      </rPr>
      <t>3</t>
    </r>
    <r>
      <rPr>
        <sz val="10"/>
        <rFont val="Calibri"/>
        <family val="1"/>
      </rPr>
      <t xml:space="preserve"> (50%)</t>
    </r>
  </si>
  <si>
    <r>
      <rPr>
        <sz val="10"/>
        <rFont val="Calibri"/>
        <family val="1"/>
      </rPr>
      <t>Pentafluoroetano (50%)
1,1,1-Trifluoroetano (50%)</t>
    </r>
  </si>
  <si>
    <r>
      <t>Methyl chloroform (CH</t>
    </r>
    <r>
      <rPr>
        <vertAlign val="subscript"/>
        <sz val="11"/>
        <rFont val="Calibri"/>
        <family val="2"/>
        <scheme val="minor"/>
      </rPr>
      <t>3</t>
    </r>
    <r>
      <rPr>
        <sz val="11"/>
        <rFont val="Calibri"/>
        <family val="2"/>
        <scheme val="minor"/>
      </rPr>
      <t>CCl</t>
    </r>
    <r>
      <rPr>
        <vertAlign val="subscript"/>
        <sz val="11"/>
        <rFont val="Calibri"/>
        <family val="2"/>
        <scheme val="minor"/>
      </rPr>
      <t>3</t>
    </r>
    <r>
      <rPr>
        <sz val="11"/>
        <rFont val="Calibri"/>
        <family val="2"/>
        <scheme val="minor"/>
      </rPr>
      <t>)</t>
    </r>
  </si>
  <si>
    <r>
      <rPr>
        <sz val="10"/>
        <rFont val="Calibri"/>
        <family val="1"/>
      </rPr>
      <t>R-508A</t>
    </r>
  </si>
  <si>
    <r>
      <rPr>
        <sz val="10"/>
        <rFont val="Calibri"/>
        <family val="1"/>
      </rPr>
      <t>PFC-116 (61%)
R-23 (39%)</t>
    </r>
  </si>
  <si>
    <r>
      <rPr>
        <sz val="10"/>
        <rFont val="Calibri"/>
        <family val="1"/>
      </rPr>
      <t>C</t>
    </r>
    <r>
      <rPr>
        <vertAlign val="subscript"/>
        <sz val="10"/>
        <rFont val="Calibri"/>
        <family val="1"/>
      </rPr>
      <t>2</t>
    </r>
    <r>
      <rPr>
        <sz val="10"/>
        <rFont val="Calibri"/>
        <family val="1"/>
      </rPr>
      <t>F</t>
    </r>
    <r>
      <rPr>
        <vertAlign val="subscript"/>
        <sz val="10"/>
        <rFont val="Calibri"/>
        <family val="1"/>
      </rPr>
      <t>6</t>
    </r>
    <r>
      <rPr>
        <sz val="10"/>
        <rFont val="Calibri"/>
        <family val="1"/>
      </rPr>
      <t xml:space="preserve"> (61%)
CHF</t>
    </r>
    <r>
      <rPr>
        <vertAlign val="subscript"/>
        <sz val="10"/>
        <rFont val="Calibri"/>
        <family val="1"/>
      </rPr>
      <t>3</t>
    </r>
    <r>
      <rPr>
        <sz val="10"/>
        <rFont val="Calibri"/>
        <family val="1"/>
      </rPr>
      <t xml:space="preserve"> (39%)</t>
    </r>
  </si>
  <si>
    <r>
      <rPr>
        <sz val="10"/>
        <rFont val="Calibri"/>
        <family val="1"/>
      </rPr>
      <t>Perfluoroetano (61%)
Trifluorometano (39%)</t>
    </r>
  </si>
  <si>
    <t>HCFC-21</t>
  </si>
  <si>
    <t>HCFC</t>
  </si>
  <si>
    <r>
      <rPr>
        <sz val="10"/>
        <rFont val="Calibri"/>
        <family val="1"/>
      </rPr>
      <t>R-508B</t>
    </r>
  </si>
  <si>
    <r>
      <rPr>
        <sz val="10"/>
        <rFont val="Calibri"/>
        <family val="1"/>
      </rPr>
      <t>PFC-116 (54%)
R-23 (46%)</t>
    </r>
  </si>
  <si>
    <r>
      <rPr>
        <sz val="10"/>
        <rFont val="Calibri"/>
        <family val="1"/>
      </rPr>
      <t>C</t>
    </r>
    <r>
      <rPr>
        <vertAlign val="subscript"/>
        <sz val="10"/>
        <rFont val="Calibri"/>
        <family val="1"/>
      </rPr>
      <t>2</t>
    </r>
    <r>
      <rPr>
        <sz val="10"/>
        <rFont val="Calibri"/>
        <family val="1"/>
      </rPr>
      <t>F</t>
    </r>
    <r>
      <rPr>
        <vertAlign val="subscript"/>
        <sz val="10"/>
        <rFont val="Calibri"/>
        <family val="1"/>
      </rPr>
      <t>6</t>
    </r>
    <r>
      <rPr>
        <sz val="10"/>
        <rFont val="Calibri"/>
        <family val="1"/>
      </rPr>
      <t xml:space="preserve"> (54%)
CHF</t>
    </r>
    <r>
      <rPr>
        <vertAlign val="subscript"/>
        <sz val="10"/>
        <rFont val="Calibri"/>
        <family val="1"/>
      </rPr>
      <t>3</t>
    </r>
    <r>
      <rPr>
        <sz val="10"/>
        <rFont val="Calibri"/>
        <family val="1"/>
      </rPr>
      <t xml:space="preserve"> (46%)</t>
    </r>
  </si>
  <si>
    <r>
      <rPr>
        <sz val="10"/>
        <rFont val="Calibri"/>
        <family val="1"/>
      </rPr>
      <t>Perfluoroetano (54%)
Trifluorometano (46%)</t>
    </r>
  </si>
  <si>
    <t>HCFC-22 (R22)</t>
  </si>
  <si>
    <r>
      <rPr>
        <sz val="10"/>
        <rFont val="Calibri"/>
        <family val="1"/>
      </rPr>
      <t>R-513A</t>
    </r>
  </si>
  <si>
    <r>
      <rPr>
        <sz val="10"/>
        <rFont val="Calibri"/>
        <family val="1"/>
      </rPr>
      <t>R-1234yf (56%)
R-134a (44%)</t>
    </r>
  </si>
  <si>
    <t>CF3CF=CH2 (56%)
CH2FCF3 (44%)</t>
  </si>
  <si>
    <r>
      <rPr>
        <sz val="10"/>
        <rFont val="Calibri"/>
        <family val="1"/>
      </rPr>
      <t>2,3,3,3-Tetrafluoropropeno (56%)
1,1,1,2-Tetrafluoroetano (44%)</t>
    </r>
  </si>
  <si>
    <t>HCFC-123</t>
  </si>
  <si>
    <t>HCFC-124</t>
  </si>
  <si>
    <t>HCFC-141b</t>
  </si>
  <si>
    <t>HCFC-142b</t>
  </si>
  <si>
    <t>HCFC-225ca</t>
  </si>
  <si>
    <t>HCFC-225cb</t>
  </si>
  <si>
    <t>HCFE-235da2</t>
  </si>
  <si>
    <t>Isoflurano</t>
  </si>
  <si>
    <t>HFE-236ea2</t>
  </si>
  <si>
    <t>Desflurano</t>
  </si>
  <si>
    <t>HFE-347mmz1</t>
  </si>
  <si>
    <t>Sevoflurano</t>
  </si>
  <si>
    <t>C2F6(PFC-116)</t>
  </si>
  <si>
    <t>Hexafluoroetano</t>
  </si>
  <si>
    <t>C3F8 (PFC-218)</t>
  </si>
  <si>
    <t>Octofluorpropano</t>
  </si>
  <si>
    <t>Outro</t>
  </si>
  <si>
    <t>Nota: valores de PAG para um horizonte de 100 anos.</t>
  </si>
  <si>
    <t>Actividade Industrial</t>
  </si>
  <si>
    <t>FE</t>
  </si>
  <si>
    <t>Unidade do FE</t>
  </si>
  <si>
    <t>Produto</t>
  </si>
  <si>
    <t>Unidade do produto</t>
  </si>
  <si>
    <t>Produção de cimento</t>
  </si>
  <si>
    <t>Clínquer</t>
  </si>
  <si>
    <t>t clínquer</t>
  </si>
  <si>
    <t>REA/CELE</t>
  </si>
  <si>
    <t>Produção de cal</t>
  </si>
  <si>
    <t>Cal</t>
  </si>
  <si>
    <t>t cal</t>
  </si>
  <si>
    <t>Produção de vidro</t>
  </si>
  <si>
    <t>Vidro</t>
  </si>
  <si>
    <t>t vidro</t>
  </si>
  <si>
    <t>Produção cerâmica</t>
  </si>
  <si>
    <t>Carbonatos consumidos</t>
  </si>
  <si>
    <t>t carbonatos consumidos</t>
  </si>
  <si>
    <t>Produção de ácido nítrico</t>
  </si>
  <si>
    <t>Ácido nítrico</t>
  </si>
  <si>
    <t>t ácido nítrico</t>
  </si>
  <si>
    <t>Produção de etileno</t>
  </si>
  <si>
    <t>Etileno</t>
  </si>
  <si>
    <t>t etileno</t>
  </si>
  <si>
    <t>IPCC 2006 Guidelines; Vol.3 IPPU; Chapter 3: Chemical Industry Emissions - Table 3.14</t>
  </si>
  <si>
    <t>Produção de aço</t>
  </si>
  <si>
    <t>Aço</t>
  </si>
  <si>
    <t>t aço</t>
  </si>
  <si>
    <t>Produção de chumbo</t>
  </si>
  <si>
    <t>Chumbo</t>
  </si>
  <si>
    <t>t chumbo</t>
  </si>
  <si>
    <t>IPCC 2006 Guidelines; Vol.3 IPPU; Chapter 4: Metal Industry Emissions - Table 4.21</t>
  </si>
  <si>
    <t>Resíduos e águas residuais de Processos</t>
  </si>
  <si>
    <t>Unidade funcional</t>
  </si>
  <si>
    <t>Deposição de resíduos em aterro</t>
  </si>
  <si>
    <t>t resíduo sólido enviado para deposição</t>
  </si>
  <si>
    <t>Tratamentos biológicos: compostagem</t>
  </si>
  <si>
    <t>t resíduo sólido enviado para compostagem</t>
  </si>
  <si>
    <t>NIR 2022</t>
  </si>
  <si>
    <t>Tratamentos biológicos: digestão anaeróbica</t>
  </si>
  <si>
    <t>t resíduo sólido enviado para digestão anaeróbia</t>
  </si>
  <si>
    <t>t resíduo enviado para incineração</t>
  </si>
  <si>
    <t>Tratamento de águas residuais e efluentes (agrícolas, pecuários, industriais, ou outros)</t>
  </si>
  <si>
    <r>
      <t>m</t>
    </r>
    <r>
      <rPr>
        <vertAlign val="superscript"/>
        <sz val="11"/>
        <color theme="1"/>
        <rFont val="Calibri"/>
        <family val="2"/>
        <scheme val="minor"/>
      </rPr>
      <t>3</t>
    </r>
    <r>
      <rPr>
        <sz val="11"/>
        <color theme="1"/>
        <rFont val="Calibri"/>
        <family val="2"/>
        <scheme val="minor"/>
      </rPr>
      <t xml:space="preserve"> de águas residuais enviadas para tratamento ou descarregadas</t>
    </r>
  </si>
  <si>
    <t>Combustíveis</t>
  </si>
  <si>
    <t>Energia elétrica</t>
  </si>
  <si>
    <t>Tipo de veículo</t>
  </si>
  <si>
    <t>l (litros)</t>
  </si>
  <si>
    <r>
      <t>m</t>
    </r>
    <r>
      <rPr>
        <vertAlign val="superscript"/>
        <sz val="11"/>
        <color theme="1"/>
        <rFont val="Calibri"/>
        <family val="2"/>
        <scheme val="minor"/>
      </rPr>
      <t>3</t>
    </r>
  </si>
  <si>
    <t>MJ</t>
  </si>
  <si>
    <t>MWh</t>
  </si>
  <si>
    <t>GJ</t>
  </si>
  <si>
    <t>t (tonelada)</t>
  </si>
  <si>
    <t>Market based</t>
  </si>
  <si>
    <t>Location based</t>
  </si>
  <si>
    <r>
      <t>EMISSÕES DIRETAS - ÂMBITO 1 (Ton CO</t>
    </r>
    <r>
      <rPr>
        <b/>
        <vertAlign val="subscript"/>
        <sz val="14"/>
        <color theme="1"/>
        <rFont val="Calibri"/>
        <family val="2"/>
        <scheme val="minor"/>
      </rPr>
      <t>2</t>
    </r>
    <r>
      <rPr>
        <b/>
        <sz val="14"/>
        <color theme="1"/>
        <rFont val="Calibri"/>
        <family val="2"/>
        <scheme val="minor"/>
      </rPr>
      <t>)</t>
    </r>
  </si>
  <si>
    <r>
      <t>EMISSÕES INDIRETAS - ÂMBITO 2 (Ton CO</t>
    </r>
    <r>
      <rPr>
        <b/>
        <vertAlign val="subscript"/>
        <sz val="14"/>
        <color theme="1"/>
        <rFont val="Calibri"/>
        <family val="2"/>
        <scheme val="minor"/>
      </rPr>
      <t>2</t>
    </r>
    <r>
      <rPr>
        <b/>
        <sz val="14"/>
        <color theme="1"/>
        <rFont val="Calibri"/>
        <family val="2"/>
        <scheme val="minor"/>
      </rPr>
      <t>)</t>
    </r>
  </si>
  <si>
    <r>
      <t>TOTAL EMISSÕES (Ton CO</t>
    </r>
    <r>
      <rPr>
        <b/>
        <vertAlign val="subscript"/>
        <sz val="14"/>
        <color theme="1"/>
        <rFont val="Calibri"/>
        <family val="2"/>
        <scheme val="minor"/>
      </rPr>
      <t>2</t>
    </r>
    <r>
      <rPr>
        <b/>
        <sz val="14"/>
        <color theme="1"/>
        <rFont val="Calibri"/>
        <family val="2"/>
        <scheme val="minor"/>
      </rPr>
      <t>)</t>
    </r>
  </si>
  <si>
    <t>Consumo da forma de energia 1</t>
  </si>
  <si>
    <t>Consumo da forma de energia 2</t>
  </si>
  <si>
    <t>Consumo da forma de energia 3</t>
  </si>
  <si>
    <t>Consumo da forma de energia 4</t>
  </si>
  <si>
    <t>Consumo de combustível 1</t>
  </si>
  <si>
    <t>Consumo de combustível 2</t>
  </si>
  <si>
    <t>Consumo de combustível 3</t>
  </si>
  <si>
    <t>Consumo de combustível 4</t>
  </si>
  <si>
    <r>
      <t>Emissões CO</t>
    </r>
    <r>
      <rPr>
        <vertAlign val="subscript"/>
        <sz val="11"/>
        <rFont val="Calibri"/>
        <family val="2"/>
        <scheme val="minor"/>
      </rPr>
      <t>2</t>
    </r>
  </si>
  <si>
    <t>Tipo de Combustível 1</t>
  </si>
  <si>
    <t>Tipo de Combustível 2</t>
  </si>
  <si>
    <t>Tipo de Combustível 3</t>
  </si>
  <si>
    <t>Tipo de Combustível 4</t>
  </si>
  <si>
    <t>Fator de emissão (market based)</t>
  </si>
  <si>
    <t>Fator de emissão (location based)</t>
  </si>
  <si>
    <t>Quantidade de gás fluorado 1 (kg)</t>
  </si>
  <si>
    <t>Quantidade de gás fluorado 2 (kg)</t>
  </si>
  <si>
    <t>Quantidade de gás fluorado 3 (kg)</t>
  </si>
  <si>
    <t>INFORMAÇÕES GERAIS</t>
  </si>
  <si>
    <t>Combustão Estacionária</t>
  </si>
  <si>
    <t>Combustão Móvel</t>
  </si>
  <si>
    <t>Maquinaria Industrial</t>
  </si>
  <si>
    <t>Frota de Transporte</t>
  </si>
  <si>
    <t>Emissões Fugitivas</t>
  </si>
  <si>
    <t>Combustão Móvel (maquinaria industrial)</t>
  </si>
  <si>
    <t>Combustão Móvel (frota de transporte)</t>
  </si>
  <si>
    <t>Enquadramento e objetivos</t>
  </si>
  <si>
    <t>Esta ferramenta de cálculo de emissões de Gases com Efeito de Estufa (GEE) foi desenvolvida no âmbito do projeto FundiRoad – Roteiro para a Descarbonização do Setor da Fundição desenvolvido pela APF - Associação Portuguesa de Fundição. O cálculo das emissões de GEE considera apenas as emissões diretas de âmbito 1  e as emissões indiretas de âmbito 2 (consumo de eletricidade adquirida).</t>
  </si>
  <si>
    <r>
      <t>O cálculo das emissões diretas e indiretas segue o Referencial do “Greenhouse Gases Protocol” (GHG Protocol) com recurso às metodologias de cálculo do “Guidebook for National Greenhouse Gas Inventories” do Painel Intergovernamental para as Alterações Climáticas (IPCC – “Intergovernmental Panel on Climate Change”, 2006). São considerados dados nacionais reportados no “Relatório Nacional de Inventários” (NIR – “National Inventory Report”) e no “Relatório Informativo de Inventários” (IIR – “Informative Inventory Report”), da Agência Portuguesa de Ambiente (APA, 2024).
O cálculo das emissões considera os seis GEE previstos no GHG Protocol e abrangidos pelo Protocolo de Quioto: dióxido de carbono (CO</t>
    </r>
    <r>
      <rPr>
        <vertAlign val="subscript"/>
        <sz val="12"/>
        <color rgb="FF585952"/>
        <rFont val="Calibri"/>
        <family val="2"/>
      </rPr>
      <t>2</t>
    </r>
    <r>
      <rPr>
        <sz val="12"/>
        <color rgb="FF585952"/>
        <rFont val="Calibri"/>
        <family val="2"/>
      </rPr>
      <t>), metano (CH</t>
    </r>
    <r>
      <rPr>
        <vertAlign val="subscript"/>
        <sz val="12"/>
        <color rgb="FF585952"/>
        <rFont val="Calibri"/>
        <family val="2"/>
      </rPr>
      <t>4</t>
    </r>
    <r>
      <rPr>
        <sz val="12"/>
        <color rgb="FF585952"/>
        <rFont val="Calibri"/>
        <family val="2"/>
      </rPr>
      <t>), óxido nitroso (N</t>
    </r>
    <r>
      <rPr>
        <vertAlign val="subscript"/>
        <sz val="12"/>
        <color rgb="FF585952"/>
        <rFont val="Calibri"/>
        <family val="2"/>
      </rPr>
      <t>2</t>
    </r>
    <r>
      <rPr>
        <sz val="12"/>
        <color rgb="FF585952"/>
        <rFont val="Calibri"/>
        <family val="2"/>
      </rPr>
      <t>O), hidrofluorocarbonos (HFCs), perfluorocarbonos (PFCs), e hexafluoreto de enxofre (SF</t>
    </r>
    <r>
      <rPr>
        <vertAlign val="subscript"/>
        <sz val="12"/>
        <color rgb="FF585952"/>
        <rFont val="Calibri"/>
        <family val="2"/>
      </rPr>
      <t>6</t>
    </r>
    <r>
      <rPr>
        <sz val="12"/>
        <color rgb="FF585952"/>
        <rFont val="Calibri"/>
        <family val="2"/>
      </rPr>
      <t>), convertidos em CO</t>
    </r>
    <r>
      <rPr>
        <vertAlign val="subscript"/>
        <sz val="12"/>
        <color rgb="FF585952"/>
        <rFont val="Calibri"/>
        <family val="2"/>
      </rPr>
      <t>2eq.</t>
    </r>
    <r>
      <rPr>
        <sz val="12"/>
        <color rgb="FF585952"/>
        <rFont val="Calibri"/>
        <family val="2"/>
      </rPr>
      <t xml:space="preserve"> utilizando os valores de Potencial de Aquecimento Global (PAG) publicados no “Sexto Relatório de Avaliação do IPCC” (AR6, 2021).</t>
    </r>
  </si>
  <si>
    <t>Cálculo das emissões</t>
  </si>
  <si>
    <t xml:space="preserve">Os fatores de emissão utilizados para os consumos de eletricidade  para 2023, 2024 e 2025 são os indicados na projeção PNEC, uma vez que os últimos dados publicados pela APA no Relatório “Fator de Emissão de Gases de Efeito de Estufa para a Eletricidade Produzida em Portugal” (APA, 2024), são referentes a 2022. 
Os fatores de cálculo utilizados para estimativa de emissões de GEE para os diferentes fluxos de emissão relacionados com os consumos de combustíveis (combustão estacionária e combustão móvel) são os constantes no Despacho n.º 17313/2008, IPCC e NIR 2022.
Para o cálculo das emissões fugitivas associadas aos gases fluorados são utilizados os valores de PAG publicados no AR6, seguindo as orientações do IPCC Guideleines 2006.
</t>
  </si>
  <si>
    <t>EMISSÕES INDIRETAS - Market Based (ÂMBITO 2)</t>
  </si>
  <si>
    <t>EMISSÕES INDIRETAS - Location Based (ÂMBITO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</si>
</sst>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E+00"/>
    <numFmt numFmtId="165" formatCode="_-* #,##0.0_-;\-* #,##0.0_-;_-* &quot;-&quot;?_-;_-@_-"/>
    <numFmt numFmtId="166" formatCode="0.0"/>
    <numFmt numFmtId="167" formatCode="0.0%"/>
    <numFmt numFmtId="168" formatCode="0.0000"/>
    <numFmt numFmtId="169" formatCode="0.00000"/>
    <numFmt numFmtId="170" formatCode="0.000E+00"/>
    <numFmt numFmtId="171" formatCode="0.0000000"/>
    <numFmt numFmtId="172" formatCode="0.000"/>
    <numFmt numFmtId="173" formatCode="#,##0.0"/>
    <numFmt numFmtId="175" formatCode="#,##0.000"/>
  </numFmts>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b/>
      <sz val="10"/>
      <color theme="0"/>
      <name val="Calibri"/>
      <family val="2"/>
      <scheme val="minor"/>
    </font>
    <font>
      <b/>
      <vertAlign val="subscript"/>
      <sz val="10"/>
      <color theme="0"/>
      <name val="Calibri"/>
      <family val="2"/>
      <scheme val="minor"/>
    </font>
    <font>
      <sz val="10"/>
      <color theme="1"/>
      <name val="Calibri"/>
      <family val="2"/>
      <scheme val="minor"/>
    </font>
    <font>
      <sz val="10"/>
      <name val="Calibri"/>
      <family val="2"/>
      <scheme val="minor"/>
    </font>
    <font>
      <vertAlign val="subscript"/>
      <sz val="10"/>
      <name val="Calibri"/>
      <family val="2"/>
      <scheme val="minor"/>
    </font>
    <font>
      <vertAlign val="superscript"/>
      <sz val="10"/>
      <name val="Calibri"/>
      <family val="2"/>
      <scheme val="minor"/>
    </font>
    <font>
      <vertAlign val="superscript"/>
      <sz val="11"/>
      <color theme="1"/>
      <name val="Calibri"/>
      <family val="2"/>
      <scheme val="minor"/>
    </font>
    <font>
      <b/>
      <sz val="12"/>
      <name val="Calibri"/>
      <family val="2"/>
      <scheme val="minor"/>
    </font>
    <font>
      <b/>
      <sz val="12"/>
      <color theme="0" tint="-4.9989318521683403E-2"/>
      <name val="Calibri"/>
      <family val="2"/>
      <scheme val="minor"/>
    </font>
    <font>
      <b/>
      <vertAlign val="subscript"/>
      <sz val="12"/>
      <color theme="0" tint="-4.9989318521683403E-2"/>
      <name val="Calibri"/>
      <family val="2"/>
      <scheme val="minor"/>
    </font>
    <font>
      <vertAlign val="subscript"/>
      <sz val="11"/>
      <color theme="1"/>
      <name val="Calibri"/>
      <family val="2"/>
      <scheme val="minor"/>
    </font>
    <font>
      <vertAlign val="subscript"/>
      <sz val="11"/>
      <name val="Calibri"/>
      <family val="2"/>
      <scheme val="minor"/>
    </font>
    <font>
      <b/>
      <sz val="12"/>
      <color theme="0"/>
      <name val="Calibri"/>
      <family val="2"/>
      <scheme val="minor"/>
    </font>
    <font>
      <b/>
      <sz val="10"/>
      <name val="Calibri"/>
      <family val="2"/>
    </font>
    <font>
      <sz val="10"/>
      <name val="Calibri"/>
      <family val="2"/>
    </font>
    <font>
      <sz val="10"/>
      <color rgb="FF000000"/>
      <name val="Calibri"/>
      <family val="2"/>
    </font>
    <font>
      <sz val="10"/>
      <name val="Calibri"/>
      <family val="1"/>
    </font>
    <font>
      <vertAlign val="subscript"/>
      <sz val="10"/>
      <name val="Calibri"/>
      <family val="1"/>
    </font>
    <font>
      <vertAlign val="superscript"/>
      <sz val="9"/>
      <color rgb="FF585858"/>
      <name val="Tahoma"/>
      <family val="2"/>
    </font>
    <font>
      <sz val="6"/>
      <color rgb="FF585858"/>
      <name val="Tahoma"/>
      <family val="2"/>
    </font>
    <font>
      <sz val="10"/>
      <color rgb="FF000000"/>
      <name val="Times New Roman"/>
      <family val="1"/>
    </font>
    <font>
      <vertAlign val="superscript"/>
      <sz val="10"/>
      <name val="Calibri"/>
      <family val="1"/>
    </font>
    <font>
      <b/>
      <sz val="10"/>
      <color theme="0"/>
      <name val="Calibri"/>
      <family val="1"/>
    </font>
    <font>
      <sz val="8"/>
      <name val="Calibri"/>
      <family val="2"/>
      <scheme val="minor"/>
    </font>
    <font>
      <b/>
      <sz val="10"/>
      <color theme="0" tint="-4.9989318521683403E-2"/>
      <name val="Calibri"/>
      <family val="2"/>
      <scheme val="minor"/>
    </font>
    <font>
      <b/>
      <vertAlign val="subscript"/>
      <sz val="10"/>
      <color theme="0" tint="-4.9989318521683403E-2"/>
      <name val="Calibri"/>
      <family val="2"/>
      <scheme val="minor"/>
    </font>
    <font>
      <b/>
      <sz val="10"/>
      <name val="Calibri"/>
      <family val="2"/>
      <scheme val="minor"/>
    </font>
    <font>
      <i/>
      <sz val="11"/>
      <color theme="1"/>
      <name val="Calibri"/>
      <family val="2"/>
      <scheme val="minor"/>
    </font>
    <font>
      <b/>
      <sz val="14"/>
      <color theme="1"/>
      <name val="Calibri"/>
      <family val="2"/>
      <scheme val="minor"/>
    </font>
    <font>
      <b/>
      <vertAlign val="subscript"/>
      <sz val="14"/>
      <color theme="1"/>
      <name val="Calibri"/>
      <family val="2"/>
      <scheme val="minor"/>
    </font>
    <font>
      <b/>
      <sz val="10"/>
      <color rgb="FF585952"/>
      <name val="Calibri"/>
      <family val="2"/>
    </font>
    <font>
      <sz val="12"/>
      <color rgb="FF585952"/>
      <name val="Calibri"/>
      <family val="2"/>
    </font>
    <font>
      <sz val="14"/>
      <color rgb="FF585952"/>
      <name val="Calibri"/>
      <family val="2"/>
    </font>
    <font>
      <sz val="10"/>
      <color rgb="FF585952"/>
      <name val="Calibri"/>
      <family val="2"/>
    </font>
    <font>
      <b/>
      <sz val="14"/>
      <color rgb="FF585952"/>
      <name val="Calibri"/>
      <family val="2"/>
    </font>
    <font>
      <vertAlign val="subscript"/>
      <sz val="12"/>
      <color rgb="FF585952"/>
      <name val="Calibri"/>
      <family val="2"/>
    </font>
    <font>
      <sz val="11"/>
      <name val="Arial"/>
      <family val="2"/>
    </font>
  </fonts>
  <fills count="2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6" tint="0.59999389629810485"/>
        <bgColor indexed="64"/>
      </patternFill>
    </fill>
    <fill>
      <patternFill patternType="solid">
        <fgColor theme="3" tint="0.249977111117893"/>
        <bgColor indexed="64"/>
      </patternFill>
    </fill>
    <fill>
      <patternFill patternType="solid">
        <fgColor theme="4"/>
        <bgColor indexed="64"/>
      </patternFill>
    </fill>
    <fill>
      <patternFill patternType="solid">
        <fgColor rgb="FF00FFCC"/>
        <bgColor indexed="64"/>
      </patternFill>
    </fill>
    <fill>
      <patternFill patternType="solid">
        <fgColor rgb="FFD9D9D9"/>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FFFF"/>
        <bgColor rgb="FFFFFFFF"/>
      </patternFill>
    </fill>
    <fill>
      <patternFill patternType="solid">
        <fgColor theme="2"/>
        <bgColor rgb="FFFFFFFF"/>
      </patternFill>
    </fill>
    <fill>
      <patternFill patternType="solid">
        <fgColor theme="2"/>
        <bgColor indexed="64"/>
      </patternFill>
    </fill>
    <fill>
      <patternFill patternType="solid">
        <fgColor theme="0" tint="-0.14999847407452621"/>
        <bgColor rgb="FFFFFFFF"/>
      </patternFill>
    </fill>
  </fills>
  <borders count="2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medium">
        <color indexed="64"/>
      </top>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3">
    <xf numFmtId="0" fontId="0" fillId="0" borderId="0" xfId="0"/>
    <xf numFmtId="0" fontId="0" fillId="2" borderId="0" xfId="0" applyFill="1"/>
    <xf numFmtId="0" fontId="0" fillId="3" borderId="0" xfId="0" applyFill="1"/>
    <xf numFmtId="49" fontId="9" fillId="0" borderId="7" xfId="0" applyNumberFormat="1" applyFont="1" applyBorder="1" applyAlignment="1">
      <alignment horizontal="center" vertical="center"/>
    </xf>
    <xf numFmtId="0" fontId="10" fillId="4" borderId="7" xfId="0" applyFont="1" applyFill="1" applyBorder="1" applyAlignment="1">
      <alignment horizontal="center" vertical="center" wrapText="1"/>
    </xf>
    <xf numFmtId="164" fontId="10" fillId="0" borderId="7" xfId="0" applyNumberFormat="1" applyFont="1" applyBorder="1" applyAlignment="1">
      <alignment horizontal="center" vertical="center"/>
    </xf>
    <xf numFmtId="0" fontId="10" fillId="0" borderId="7" xfId="0" applyFont="1" applyBorder="1" applyAlignment="1">
      <alignment horizontal="left" vertical="center" wrapText="1"/>
    </xf>
    <xf numFmtId="165" fontId="10" fillId="0" borderId="7" xfId="0" applyNumberFormat="1" applyFont="1" applyBorder="1" applyAlignment="1">
      <alignment horizontal="left" vertical="center"/>
    </xf>
    <xf numFmtId="164" fontId="10" fillId="0" borderId="7"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164" fontId="10" fillId="4" borderId="7" xfId="0" applyNumberFormat="1" applyFont="1" applyFill="1" applyBorder="1" applyAlignment="1">
      <alignment horizontal="center" vertical="center" wrapText="1"/>
    </xf>
    <xf numFmtId="0" fontId="10" fillId="0" borderId="7" xfId="0" quotePrefix="1" applyFont="1" applyBorder="1" applyAlignment="1">
      <alignment horizontal="center" vertical="center" wrapText="1"/>
    </xf>
    <xf numFmtId="0" fontId="9" fillId="0" borderId="7" xfId="0" applyFont="1" applyBorder="1" applyAlignment="1">
      <alignment horizontal="center" vertical="center"/>
    </xf>
    <xf numFmtId="166" fontId="10" fillId="0" borderId="7" xfId="0" applyNumberFormat="1" applyFont="1" applyBorder="1" applyAlignment="1">
      <alignment horizontal="center" vertical="center" wrapText="1"/>
    </xf>
    <xf numFmtId="2" fontId="10" fillId="2" borderId="7" xfId="1" applyNumberFormat="1" applyFont="1" applyFill="1" applyBorder="1" applyAlignment="1" applyProtection="1">
      <alignment horizontal="center" vertical="center"/>
    </xf>
    <xf numFmtId="0" fontId="0" fillId="0" borderId="0" xfId="0" applyAlignment="1">
      <alignment horizontal="center"/>
    </xf>
    <xf numFmtId="0" fontId="3" fillId="6" borderId="0" xfId="0" applyFont="1" applyFill="1"/>
    <xf numFmtId="0" fontId="3" fillId="0" borderId="0" xfId="0" applyFont="1" applyAlignment="1">
      <alignment horizontal="center"/>
    </xf>
    <xf numFmtId="0" fontId="14" fillId="4" borderId="0" xfId="0" applyFont="1" applyFill="1" applyAlignment="1">
      <alignment horizontal="left"/>
    </xf>
    <xf numFmtId="169" fontId="10" fillId="2" borderId="7" xfId="1" applyNumberFormat="1" applyFont="1" applyFill="1" applyBorder="1" applyAlignment="1" applyProtection="1">
      <alignment horizontal="center" vertical="center"/>
    </xf>
    <xf numFmtId="0" fontId="3" fillId="11" borderId="0" xfId="0" applyFont="1" applyFill="1"/>
    <xf numFmtId="0" fontId="7" fillId="12" borderId="1" xfId="0" applyFont="1" applyFill="1" applyBorder="1" applyAlignment="1">
      <alignment horizontal="center" vertical="center" wrapText="1"/>
    </xf>
    <xf numFmtId="0" fontId="7" fillId="12" borderId="7" xfId="0" applyFont="1" applyFill="1" applyBorder="1" applyAlignment="1">
      <alignment horizontal="center" vertical="center"/>
    </xf>
    <xf numFmtId="0" fontId="7" fillId="12" borderId="7"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2" borderId="7"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0" borderId="7" xfId="0" applyFont="1" applyBorder="1" applyAlignment="1">
      <alignment horizontal="center" vertical="center"/>
    </xf>
    <xf numFmtId="3" fontId="6" fillId="0" borderId="7" xfId="0" applyNumberFormat="1" applyFont="1" applyBorder="1" applyAlignment="1">
      <alignment horizontal="center" vertical="center" wrapText="1"/>
    </xf>
    <xf numFmtId="0" fontId="6" fillId="0" borderId="1" xfId="0" applyFont="1" applyBorder="1" applyAlignment="1">
      <alignment horizontal="center" vertical="center"/>
    </xf>
    <xf numFmtId="3" fontId="6" fillId="10" borderId="7" xfId="0" applyNumberFormat="1" applyFont="1" applyFill="1" applyBorder="1" applyAlignment="1">
      <alignment horizontal="center" vertical="center" wrapText="1"/>
    </xf>
    <xf numFmtId="0" fontId="6" fillId="0" borderId="7" xfId="0" quotePrefix="1" applyFont="1" applyBorder="1" applyAlignment="1">
      <alignment horizontal="center" vertical="center"/>
    </xf>
    <xf numFmtId="0" fontId="6" fillId="0" borderId="7" xfId="0" applyFont="1" applyBorder="1" applyAlignment="1">
      <alignment horizontal="center"/>
    </xf>
    <xf numFmtId="0" fontId="6" fillId="4" borderId="0" xfId="0" applyFont="1" applyFill="1" applyAlignment="1">
      <alignment horizontal="left" vertical="center"/>
    </xf>
    <xf numFmtId="0" fontId="6" fillId="0" borderId="11" xfId="0" applyFont="1" applyBorder="1"/>
    <xf numFmtId="49" fontId="0" fillId="7" borderId="0" xfId="0" applyNumberFormat="1" applyFill="1" applyAlignment="1">
      <alignment horizontal="center"/>
    </xf>
    <xf numFmtId="0" fontId="2" fillId="13" borderId="0" xfId="0" applyFont="1" applyFill="1"/>
    <xf numFmtId="0" fontId="0" fillId="7" borderId="0" xfId="0" applyFill="1" applyAlignment="1">
      <alignment horizontal="center"/>
    </xf>
    <xf numFmtId="0" fontId="0" fillId="14" borderId="0" xfId="0" applyFill="1"/>
    <xf numFmtId="167" fontId="6" fillId="0" borderId="7" xfId="2" applyNumberFormat="1" applyFont="1" applyFill="1" applyBorder="1" applyAlignment="1" applyProtection="1">
      <alignment horizontal="center" vertical="center"/>
    </xf>
    <xf numFmtId="9" fontId="6" fillId="0" borderId="7" xfId="2" applyFont="1" applyFill="1" applyBorder="1" applyAlignment="1" applyProtection="1">
      <alignment horizontal="center" vertical="center"/>
    </xf>
    <xf numFmtId="171" fontId="6" fillId="0" borderId="7" xfId="0" applyNumberFormat="1" applyFont="1" applyBorder="1" applyAlignment="1">
      <alignment horizontal="center" vertical="center"/>
    </xf>
    <xf numFmtId="172" fontId="6" fillId="0" borderId="7" xfId="0" applyNumberFormat="1" applyFont="1" applyBorder="1" applyAlignment="1">
      <alignment horizontal="center" vertical="center"/>
    </xf>
    <xf numFmtId="0" fontId="6" fillId="6" borderId="7" xfId="0" applyFont="1" applyFill="1" applyBorder="1" applyAlignment="1">
      <alignment horizontal="center" vertical="center" wrapText="1"/>
    </xf>
    <xf numFmtId="0" fontId="6" fillId="6" borderId="7" xfId="0" applyFont="1" applyFill="1" applyBorder="1" applyAlignment="1">
      <alignment horizontal="center" vertical="center"/>
    </xf>
    <xf numFmtId="3" fontId="6" fillId="6" borderId="7" xfId="0" applyNumberFormat="1" applyFont="1" applyFill="1" applyBorder="1" applyAlignment="1">
      <alignment horizontal="center" vertical="center" wrapText="1"/>
    </xf>
    <xf numFmtId="0" fontId="6" fillId="6" borderId="8" xfId="0" applyFont="1" applyFill="1" applyBorder="1" applyAlignment="1">
      <alignment horizontal="center" vertical="center"/>
    </xf>
    <xf numFmtId="0" fontId="6" fillId="6" borderId="9" xfId="0" applyFont="1" applyFill="1" applyBorder="1"/>
    <xf numFmtId="0" fontId="6" fillId="6" borderId="10" xfId="0" applyFont="1" applyFill="1" applyBorder="1"/>
    <xf numFmtId="0" fontId="20" fillId="15" borderId="12" xfId="0" applyFont="1" applyFill="1" applyBorder="1" applyAlignment="1">
      <alignment horizontal="left" vertical="center" wrapText="1"/>
    </xf>
    <xf numFmtId="0" fontId="21" fillId="0" borderId="12" xfId="0" applyFont="1" applyBorder="1" applyAlignment="1">
      <alignment horizontal="left" vertical="top" wrapText="1"/>
    </xf>
    <xf numFmtId="173" fontId="22" fillId="6" borderId="12" xfId="0" applyNumberFormat="1" applyFont="1" applyFill="1" applyBorder="1" applyAlignment="1">
      <alignment horizontal="center" vertical="top" shrinkToFit="1"/>
    </xf>
    <xf numFmtId="0" fontId="23" fillId="0" borderId="12" xfId="0" applyFont="1"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27" fillId="0" borderId="12" xfId="0" applyFont="1" applyBorder="1" applyAlignment="1">
      <alignment horizontal="left" vertical="top" wrapText="1"/>
    </xf>
    <xf numFmtId="0" fontId="21" fillId="0" borderId="13" xfId="0" applyFont="1" applyBorder="1" applyAlignment="1">
      <alignment horizontal="left" vertical="center" wrapText="1"/>
    </xf>
    <xf numFmtId="0" fontId="23" fillId="0" borderId="14" xfId="0" applyFont="1" applyBorder="1" applyAlignment="1">
      <alignment horizontal="left" vertical="center" wrapText="1"/>
    </xf>
    <xf numFmtId="173" fontId="22" fillId="0" borderId="13" xfId="0" applyNumberFormat="1" applyFont="1" applyBorder="1" applyAlignment="1">
      <alignment horizontal="center" vertical="center" shrinkToFit="1"/>
    </xf>
    <xf numFmtId="0" fontId="21" fillId="0" borderId="12" xfId="0" applyFont="1" applyBorder="1" applyAlignment="1">
      <alignment horizontal="left" vertical="center" wrapText="1"/>
    </xf>
    <xf numFmtId="173" fontId="22" fillId="0" borderId="12" xfId="0" applyNumberFormat="1" applyFont="1" applyBorder="1" applyAlignment="1">
      <alignment horizontal="center" vertical="center" shrinkToFit="1"/>
    </xf>
    <xf numFmtId="0" fontId="23" fillId="0" borderId="12"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3" fillId="0" borderId="13" xfId="0" applyFont="1" applyBorder="1" applyAlignment="1">
      <alignment horizontal="left" vertical="center" wrapText="1"/>
    </xf>
    <xf numFmtId="0" fontId="19" fillId="12" borderId="1" xfId="0" applyFont="1" applyFill="1" applyBorder="1" applyAlignment="1">
      <alignment horizontal="center" vertical="center" wrapText="1"/>
    </xf>
    <xf numFmtId="0" fontId="21" fillId="0" borderId="16" xfId="0" applyFont="1" applyBorder="1" applyAlignment="1">
      <alignment horizontal="left" vertical="top" wrapText="1"/>
    </xf>
    <xf numFmtId="173" fontId="22" fillId="6" borderId="16" xfId="0" applyNumberFormat="1" applyFont="1" applyFill="1" applyBorder="1" applyAlignment="1">
      <alignment horizontal="center" vertical="top" shrinkToFit="1"/>
    </xf>
    <xf numFmtId="0" fontId="3" fillId="16" borderId="0" xfId="0" applyFont="1" applyFill="1"/>
    <xf numFmtId="0" fontId="19" fillId="13" borderId="7"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1" fillId="13" borderId="7"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9" borderId="4" xfId="0" applyFont="1" applyFill="1" applyBorder="1" applyAlignment="1">
      <alignment horizontal="center" vertical="center" wrapText="1"/>
    </xf>
    <xf numFmtId="43" fontId="10" fillId="0" borderId="4" xfId="0" applyNumberFormat="1" applyFont="1" applyBorder="1" applyAlignment="1">
      <alignment horizontal="center" vertical="center" wrapText="1"/>
    </xf>
    <xf numFmtId="164" fontId="10" fillId="0" borderId="4" xfId="0" applyNumberFormat="1" applyFont="1" applyBorder="1" applyAlignment="1">
      <alignment horizontal="right" vertical="center" wrapText="1"/>
    </xf>
    <xf numFmtId="0" fontId="10" fillId="9" borderId="7" xfId="0" applyFont="1" applyFill="1" applyBorder="1" applyAlignment="1">
      <alignment horizontal="center" vertical="center" wrapText="1"/>
    </xf>
    <xf numFmtId="166" fontId="10" fillId="0" borderId="4" xfId="0" applyNumberFormat="1" applyFont="1" applyBorder="1" applyAlignment="1">
      <alignment horizontal="center" vertical="center" wrapText="1"/>
    </xf>
    <xf numFmtId="0" fontId="9" fillId="0" borderId="0" xfId="0" applyFont="1"/>
    <xf numFmtId="0" fontId="33" fillId="4" borderId="0" xfId="0" applyFont="1" applyFill="1"/>
    <xf numFmtId="0" fontId="9" fillId="0" borderId="7" xfId="0" applyFont="1" applyBorder="1"/>
    <xf numFmtId="0" fontId="9" fillId="0" borderId="7" xfId="0" applyFont="1" applyBorder="1" applyAlignment="1">
      <alignment horizontal="center"/>
    </xf>
    <xf numFmtId="168" fontId="9" fillId="0" borderId="7" xfId="0" applyNumberFormat="1" applyFont="1" applyBorder="1"/>
    <xf numFmtId="170" fontId="9" fillId="0" borderId="7" xfId="0" applyNumberFormat="1" applyFont="1" applyBorder="1"/>
    <xf numFmtId="0" fontId="0" fillId="0" borderId="7" xfId="0" applyBorder="1" applyAlignment="1">
      <alignment horizontal="left" indent="2"/>
    </xf>
    <xf numFmtId="2" fontId="0" fillId="0" borderId="7" xfId="0" applyNumberFormat="1" applyBorder="1" applyAlignment="1">
      <alignment horizontal="center"/>
    </xf>
    <xf numFmtId="0" fontId="0" fillId="0" borderId="7" xfId="0" applyBorder="1" applyAlignment="1">
      <alignment horizontal="left" indent="1"/>
    </xf>
    <xf numFmtId="0" fontId="34" fillId="0" borderId="7" xfId="0" applyFont="1" applyBorder="1" applyAlignment="1">
      <alignment horizontal="left" indent="1"/>
    </xf>
    <xf numFmtId="0" fontId="2" fillId="13" borderId="7" xfId="0" applyFont="1" applyFill="1" applyBorder="1" applyAlignment="1">
      <alignment horizontal="left" vertical="center"/>
    </xf>
    <xf numFmtId="0" fontId="2" fillId="13" borderId="7" xfId="0" applyFont="1" applyFill="1" applyBorder="1" applyAlignment="1">
      <alignment horizontal="center" vertical="center"/>
    </xf>
    <xf numFmtId="2" fontId="0" fillId="17" borderId="7" xfId="0" applyNumberFormat="1" applyFill="1" applyBorder="1" applyAlignment="1">
      <alignment horizontal="center"/>
    </xf>
    <xf numFmtId="0" fontId="0" fillId="17" borderId="7" xfId="0" applyFill="1" applyBorder="1" applyAlignment="1">
      <alignment horizontal="left" indent="1"/>
    </xf>
    <xf numFmtId="0" fontId="34" fillId="17" borderId="7" xfId="0" applyFont="1" applyFill="1" applyBorder="1" applyAlignment="1">
      <alignment horizontal="left" indent="1"/>
    </xf>
    <xf numFmtId="0" fontId="2" fillId="13" borderId="7" xfId="0" applyFont="1" applyFill="1" applyBorder="1" applyAlignment="1">
      <alignment vertical="center"/>
    </xf>
    <xf numFmtId="0" fontId="0" fillId="0" borderId="7" xfId="0" applyBorder="1"/>
    <xf numFmtId="2" fontId="0" fillId="0" borderId="7" xfId="0" applyNumberFormat="1" applyBorder="1"/>
    <xf numFmtId="0" fontId="0" fillId="17" borderId="7" xfId="0" applyFill="1" applyBorder="1"/>
    <xf numFmtId="2" fontId="0" fillId="17" borderId="7" xfId="0" applyNumberFormat="1" applyFill="1" applyBorder="1"/>
    <xf numFmtId="0" fontId="9" fillId="17" borderId="7" xfId="0" applyFont="1" applyFill="1" applyBorder="1"/>
    <xf numFmtId="0" fontId="9" fillId="17" borderId="7" xfId="0" applyFont="1" applyFill="1" applyBorder="1" applyAlignment="1">
      <alignment horizontal="center"/>
    </xf>
    <xf numFmtId="170" fontId="9" fillId="17" borderId="7" xfId="0" applyNumberFormat="1" applyFont="1" applyFill="1" applyBorder="1"/>
    <xf numFmtId="168" fontId="9" fillId="17" borderId="7" xfId="0" applyNumberFormat="1" applyFont="1" applyFill="1" applyBorder="1"/>
    <xf numFmtId="0" fontId="10" fillId="18" borderId="1" xfId="0" applyFont="1" applyFill="1" applyBorder="1" applyAlignment="1">
      <alignment horizontal="center" vertical="center"/>
    </xf>
    <xf numFmtId="0" fontId="10" fillId="18" borderId="4" xfId="0" applyFont="1" applyFill="1" applyBorder="1" applyAlignment="1">
      <alignment horizontal="center" vertical="center" wrapText="1"/>
    </xf>
    <xf numFmtId="43" fontId="10" fillId="18" borderId="4" xfId="0" applyNumberFormat="1" applyFont="1" applyFill="1" applyBorder="1" applyAlignment="1">
      <alignment horizontal="center" vertical="center" wrapText="1"/>
    </xf>
    <xf numFmtId="0" fontId="10" fillId="18" borderId="7" xfId="0" applyFont="1" applyFill="1" applyBorder="1" applyAlignment="1">
      <alignment horizontal="center" vertical="center" wrapText="1"/>
    </xf>
    <xf numFmtId="164" fontId="10" fillId="18" borderId="4" xfId="0" applyNumberFormat="1" applyFont="1" applyFill="1" applyBorder="1" applyAlignment="1">
      <alignment horizontal="right" vertical="center" wrapText="1"/>
    </xf>
    <xf numFmtId="166" fontId="10" fillId="18" borderId="4"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10" fillId="5" borderId="4" xfId="0" applyFont="1" applyFill="1" applyBorder="1" applyAlignment="1">
      <alignment horizontal="center" vertical="center" wrapText="1"/>
    </xf>
    <xf numFmtId="43" fontId="10" fillId="5" borderId="4" xfId="0" applyNumberFormat="1" applyFont="1" applyFill="1" applyBorder="1" applyAlignment="1">
      <alignment horizontal="center" vertical="center" wrapText="1"/>
    </xf>
    <xf numFmtId="164" fontId="10" fillId="5" borderId="4" xfId="0" applyNumberFormat="1" applyFont="1" applyFill="1" applyBorder="1" applyAlignment="1">
      <alignment horizontal="right" vertical="center" wrapText="1"/>
    </xf>
    <xf numFmtId="166" fontId="10" fillId="5" borderId="4" xfId="0" applyNumberFormat="1" applyFont="1" applyFill="1" applyBorder="1" applyAlignment="1">
      <alignment horizontal="center" vertical="center" wrapText="1"/>
    </xf>
    <xf numFmtId="0" fontId="10" fillId="18" borderId="7" xfId="0" applyFont="1" applyFill="1" applyBorder="1" applyAlignment="1">
      <alignment horizontal="center" vertical="center"/>
    </xf>
    <xf numFmtId="43" fontId="10" fillId="18" borderId="7" xfId="0" applyNumberFormat="1" applyFont="1" applyFill="1" applyBorder="1" applyAlignment="1">
      <alignment horizontal="center" vertical="center" wrapText="1"/>
    </xf>
    <xf numFmtId="164" fontId="10" fillId="18" borderId="7" xfId="0" applyNumberFormat="1" applyFont="1" applyFill="1" applyBorder="1" applyAlignment="1">
      <alignment horizontal="right" vertical="center" wrapText="1"/>
    </xf>
    <xf numFmtId="166" fontId="10" fillId="18" borderId="7" xfId="0" applyNumberFormat="1"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6" fillId="0" borderId="18" xfId="0" applyFont="1" applyBorder="1" applyAlignment="1">
      <alignment horizontal="center" vertical="center"/>
    </xf>
    <xf numFmtId="173" fontId="0" fillId="0" borderId="0" xfId="0" applyNumberFormat="1"/>
    <xf numFmtId="166" fontId="0" fillId="0" borderId="0" xfId="0" applyNumberFormat="1"/>
    <xf numFmtId="0" fontId="6" fillId="0" borderId="24" xfId="0" applyFont="1" applyBorder="1"/>
    <xf numFmtId="0" fontId="6" fillId="0" borderId="25" xfId="0" applyFont="1" applyBorder="1"/>
    <xf numFmtId="0" fontId="0" fillId="9" borderId="0" xfId="0" applyFill="1" applyAlignment="1">
      <alignment horizontal="center"/>
    </xf>
    <xf numFmtId="49" fontId="0" fillId="9" borderId="0" xfId="0" applyNumberFormat="1" applyFill="1" applyAlignment="1">
      <alignment horizontal="center"/>
    </xf>
    <xf numFmtId="0" fontId="0" fillId="9" borderId="0" xfId="0" applyFill="1"/>
    <xf numFmtId="0" fontId="0" fillId="0" borderId="26" xfId="0" applyBorder="1"/>
    <xf numFmtId="0" fontId="0" fillId="5" borderId="26" xfId="0" applyFill="1" applyBorder="1"/>
    <xf numFmtId="0" fontId="3" fillId="14" borderId="26" xfId="0" applyFont="1" applyFill="1" applyBorder="1"/>
    <xf numFmtId="0" fontId="0" fillId="7" borderId="26" xfId="0" applyFill="1" applyBorder="1"/>
    <xf numFmtId="0" fontId="0" fillId="20" borderId="26" xfId="0" applyFill="1" applyBorder="1"/>
    <xf numFmtId="0" fontId="6" fillId="7" borderId="26" xfId="0" applyFont="1" applyFill="1" applyBorder="1"/>
    <xf numFmtId="0" fontId="6" fillId="20" borderId="26" xfId="0" applyFont="1" applyFill="1" applyBorder="1"/>
    <xf numFmtId="0" fontId="6" fillId="5" borderId="26" xfId="0" applyFont="1" applyFill="1" applyBorder="1"/>
    <xf numFmtId="172" fontId="0" fillId="5" borderId="26" xfId="0" applyNumberFormat="1" applyFill="1" applyBorder="1" applyAlignment="1">
      <alignment horizontal="center"/>
    </xf>
    <xf numFmtId="168" fontId="0" fillId="5" borderId="26" xfId="0" applyNumberFormat="1" applyFill="1" applyBorder="1" applyAlignment="1">
      <alignment horizontal="center"/>
    </xf>
    <xf numFmtId="175" fontId="0" fillId="5" borderId="26" xfId="0" applyNumberFormat="1" applyFill="1" applyBorder="1" applyAlignment="1">
      <alignment horizontal="center"/>
    </xf>
    <xf numFmtId="4" fontId="0" fillId="5" borderId="26" xfId="0" applyNumberFormat="1" applyFill="1" applyBorder="1" applyAlignment="1">
      <alignment horizontal="center"/>
    </xf>
    <xf numFmtId="164" fontId="10" fillId="9" borderId="7" xfId="0" applyNumberFormat="1" applyFont="1" applyFill="1" applyBorder="1" applyAlignment="1">
      <alignment horizontal="right" vertical="center" wrapText="1"/>
    </xf>
    <xf numFmtId="175" fontId="6" fillId="5" borderId="26" xfId="0" applyNumberFormat="1" applyFont="1" applyFill="1" applyBorder="1" applyAlignment="1">
      <alignment horizontal="center"/>
    </xf>
    <xf numFmtId="0" fontId="37" fillId="22" borderId="0" xfId="0" applyFont="1" applyFill="1" applyAlignment="1">
      <alignment horizontal="left" vertical="center"/>
    </xf>
    <xf numFmtId="0" fontId="22" fillId="0" borderId="0" xfId="0" applyFont="1" applyAlignment="1">
      <alignment vertical="center"/>
    </xf>
    <xf numFmtId="0" fontId="39" fillId="0" borderId="0" xfId="0" applyFont="1" applyAlignment="1">
      <alignment horizontal="left" vertical="center" wrapText="1"/>
    </xf>
    <xf numFmtId="0" fontId="43" fillId="0" borderId="0" xfId="0" applyFont="1" applyAlignment="1">
      <alignment horizontal="left" vertical="center" wrapText="1"/>
    </xf>
    <xf numFmtId="0" fontId="38" fillId="23" borderId="0" xfId="0" applyFont="1" applyFill="1" applyAlignment="1">
      <alignment horizontal="left" vertical="center" wrapText="1"/>
    </xf>
    <xf numFmtId="0" fontId="40" fillId="23" borderId="0" xfId="0" applyFont="1" applyFill="1" applyAlignment="1">
      <alignment horizontal="left" vertical="center" wrapText="1"/>
    </xf>
    <xf numFmtId="0" fontId="39" fillId="24" borderId="0" xfId="0" applyFont="1" applyFill="1" applyAlignment="1">
      <alignment horizontal="left" vertical="center" wrapText="1"/>
    </xf>
    <xf numFmtId="0" fontId="41" fillId="25" borderId="0" xfId="0" applyFont="1" applyFill="1" applyAlignment="1">
      <alignment horizontal="left" vertical="center"/>
    </xf>
    <xf numFmtId="173" fontId="3" fillId="0" borderId="0" xfId="0" applyNumberFormat="1" applyFont="1"/>
    <xf numFmtId="0" fontId="0" fillId="2" borderId="0" xfId="0" applyFill="1" applyAlignment="1" applyProtection="1">
      <alignment horizontal="center"/>
      <protection locked="0"/>
    </xf>
    <xf numFmtId="0" fontId="0" fillId="2" borderId="26" xfId="0" applyFill="1" applyBorder="1" applyAlignment="1" applyProtection="1">
      <alignment horizontal="center"/>
      <protection locked="0"/>
    </xf>
    <xf numFmtId="0" fontId="0" fillId="3" borderId="26" xfId="0" applyFill="1" applyBorder="1" applyAlignment="1" applyProtection="1">
      <alignment horizontal="center"/>
      <protection locked="0"/>
    </xf>
    <xf numFmtId="3" fontId="0" fillId="3" borderId="26" xfId="0" applyNumberFormat="1" applyFill="1" applyBorder="1" applyAlignment="1" applyProtection="1">
      <alignment horizontal="center"/>
      <protection locked="0"/>
    </xf>
    <xf numFmtId="0" fontId="6" fillId="2" borderId="26" xfId="0" applyFont="1" applyFill="1" applyBorder="1" applyAlignment="1" applyProtection="1">
      <alignment horizontal="center"/>
      <protection locked="0"/>
    </xf>
    <xf numFmtId="1" fontId="0" fillId="3" borderId="26" xfId="0" applyNumberFormat="1" applyFill="1" applyBorder="1" applyAlignment="1" applyProtection="1">
      <alignment horizontal="center"/>
      <protection locked="0"/>
    </xf>
    <xf numFmtId="3" fontId="6" fillId="3" borderId="26" xfId="0" applyNumberFormat="1" applyFont="1" applyFill="1" applyBorder="1" applyAlignment="1" applyProtection="1">
      <alignment horizontal="center"/>
      <protection locked="0"/>
    </xf>
    <xf numFmtId="0" fontId="0" fillId="3" borderId="26" xfId="0" applyFill="1" applyBorder="1" applyAlignment="1" applyProtection="1">
      <alignment horizontal="center" vertical="center"/>
      <protection locked="0"/>
    </xf>
    <xf numFmtId="172" fontId="0" fillId="3" borderId="26" xfId="0" applyNumberFormat="1" applyFill="1" applyBorder="1" applyAlignment="1" applyProtection="1">
      <alignment horizontal="center"/>
      <protection locked="0"/>
    </xf>
    <xf numFmtId="173" fontId="0" fillId="14" borderId="26" xfId="0" applyNumberFormat="1" applyFill="1" applyBorder="1" applyAlignment="1" applyProtection="1">
      <alignment horizontal="center"/>
      <protection hidden="1"/>
    </xf>
    <xf numFmtId="173" fontId="0" fillId="14" borderId="26" xfId="0" applyNumberFormat="1" applyFill="1" applyBorder="1" applyAlignment="1" applyProtection="1">
      <alignment horizontal="center" vertical="center"/>
      <protection hidden="1"/>
    </xf>
    <xf numFmtId="0" fontId="35" fillId="11" borderId="27" xfId="0" applyFont="1" applyFill="1" applyBorder="1" applyAlignment="1">
      <alignment horizontal="center"/>
    </xf>
    <xf numFmtId="0" fontId="35" fillId="11" borderId="28" xfId="0" applyFont="1" applyFill="1" applyBorder="1" applyAlignment="1">
      <alignment horizontal="center"/>
    </xf>
    <xf numFmtId="0" fontId="19" fillId="19" borderId="27" xfId="0" applyFont="1" applyFill="1" applyBorder="1" applyAlignment="1">
      <alignment horizontal="center"/>
    </xf>
    <xf numFmtId="0" fontId="19" fillId="19" borderId="28" xfId="0" applyFont="1" applyFill="1" applyBorder="1" applyAlignment="1">
      <alignment horizontal="center"/>
    </xf>
    <xf numFmtId="0" fontId="35" fillId="8" borderId="27" xfId="0" applyFont="1" applyFill="1" applyBorder="1" applyAlignment="1">
      <alignment horizontal="center"/>
    </xf>
    <xf numFmtId="0" fontId="35" fillId="8" borderId="28" xfId="0" applyFont="1" applyFill="1" applyBorder="1" applyAlignment="1">
      <alignment horizontal="center"/>
    </xf>
    <xf numFmtId="0" fontId="3" fillId="16" borderId="27" xfId="0" applyFont="1" applyFill="1" applyBorder="1" applyAlignment="1">
      <alignment horizontal="center"/>
    </xf>
    <xf numFmtId="0" fontId="3" fillId="16" borderId="28" xfId="0" applyFont="1" applyFill="1" applyBorder="1" applyAlignment="1">
      <alignment horizontal="center"/>
    </xf>
    <xf numFmtId="0" fontId="3" fillId="21" borderId="27" xfId="0" applyFont="1" applyFill="1" applyBorder="1" applyAlignment="1">
      <alignment horizontal="center"/>
    </xf>
    <xf numFmtId="0" fontId="3" fillId="21" borderId="28" xfId="0" applyFont="1" applyFill="1" applyBorder="1" applyAlignment="1">
      <alignment horizontal="center"/>
    </xf>
    <xf numFmtId="0" fontId="7" fillId="12" borderId="17"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17" xfId="0" applyFont="1" applyFill="1" applyBorder="1" applyAlignment="1">
      <alignment horizontal="center" vertical="center"/>
    </xf>
    <xf numFmtId="0" fontId="7" fillId="12" borderId="5"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19" xfId="0" applyFont="1" applyFill="1" applyBorder="1" applyAlignment="1">
      <alignment horizontal="center" vertical="center" wrapText="1"/>
    </xf>
    <xf numFmtId="0" fontId="7" fillId="12" borderId="23"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7" fillId="12" borderId="2"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7" fillId="12" borderId="6"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31" fillId="13" borderId="2" xfId="0" applyFont="1" applyFill="1" applyBorder="1" applyAlignment="1">
      <alignment horizontal="center" vertical="center" wrapText="1"/>
    </xf>
    <xf numFmtId="0" fontId="31" fillId="13" borderId="3" xfId="0" applyFont="1" applyFill="1" applyBorder="1" applyAlignment="1">
      <alignment horizontal="center" vertical="center" wrapText="1"/>
    </xf>
    <xf numFmtId="0" fontId="31" fillId="13" borderId="4" xfId="0" applyFont="1" applyFill="1" applyBorder="1" applyAlignment="1">
      <alignment horizontal="center" vertical="center" wrapText="1"/>
    </xf>
    <xf numFmtId="0" fontId="31" fillId="13" borderId="1" xfId="0" applyFont="1" applyFill="1" applyBorder="1" applyAlignment="1">
      <alignment horizontal="center" vertical="center"/>
    </xf>
    <xf numFmtId="0" fontId="31" fillId="13" borderId="5" xfId="0" applyFont="1" applyFill="1" applyBorder="1" applyAlignment="1">
      <alignment horizontal="center" vertical="center"/>
    </xf>
    <xf numFmtId="0" fontId="31" fillId="13" borderId="18" xfId="0" applyFont="1" applyFill="1" applyBorder="1" applyAlignment="1">
      <alignment horizontal="center" vertical="center"/>
    </xf>
    <xf numFmtId="0" fontId="31" fillId="13" borderId="1" xfId="0" applyFont="1" applyFill="1" applyBorder="1" applyAlignment="1">
      <alignment horizontal="center" vertical="center" wrapText="1"/>
    </xf>
    <xf numFmtId="0" fontId="31" fillId="13" borderId="5"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6" fillId="0" borderId="15" xfId="0" applyFont="1"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3" fillId="6" borderId="22" xfId="0" applyFont="1" applyFill="1" applyBorder="1" applyAlignment="1">
      <alignment horizontal="center" wrapText="1"/>
    </xf>
    <xf numFmtId="0" fontId="0" fillId="6" borderId="22" xfId="0" applyFill="1" applyBorder="1" applyAlignment="1">
      <alignment horizontal="center" wrapText="1"/>
    </xf>
    <xf numFmtId="172" fontId="0" fillId="5" borderId="26" xfId="0" applyNumberFormat="1" applyFill="1" applyBorder="1" applyAlignment="1">
      <alignment horizontal="center" vertical="center"/>
    </xf>
  </cellXfs>
  <cellStyles count="3">
    <cellStyle name="Normal" xfId="0" builtinId="0"/>
    <cellStyle name="Percentagem" xfId="2" builtinId="5"/>
    <cellStyle name="Vírgula" xfId="1" builtinId="3"/>
  </cellStyles>
  <dxfs count="0"/>
  <tableStyles count="0" defaultTableStyle="TableStyleMedium2" defaultPivotStyle="PivotStyleLight16"/>
  <colors>
    <mruColors>
      <color rgb="FF00FFCC"/>
      <color rgb="FF66FF33"/>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PT" b="1"/>
              <a:t>Emissões Diretas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manualLayout>
          <c:layoutTarget val="inner"/>
          <c:xMode val="edge"/>
          <c:yMode val="edge"/>
          <c:x val="0.26013321448026538"/>
          <c:y val="0.15703190859684682"/>
          <c:w val="0.49851928886247709"/>
          <c:h val="0.601857000221213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045-4194-ACAE-C82951BC8E1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045-4194-ACAE-C82951BC8E1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E9-4BA0-804C-8A998B8BF2B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92E8-4EF8-9157-904C0AE768FD}"/>
              </c:ext>
            </c:extLst>
          </c:dPt>
          <c:dLbls>
            <c:dLbl>
              <c:idx val="3"/>
              <c:showLegendKey val="0"/>
              <c:showVal val="1"/>
              <c:showCatName val="0"/>
              <c:showSerName val="0"/>
              <c:showPercent val="1"/>
              <c:showBubbleSize val="0"/>
              <c:extLst>
                <c:ext xmlns:c15="http://schemas.microsoft.com/office/drawing/2012/chart" uri="{CE6537A1-D6FC-4f65-9D91-7224C49458BB}">
                  <c15:layout>
                    <c:manualLayout>
                      <c:w val="0.28220703619336879"/>
                      <c:h val="0.21102791014295438"/>
                    </c:manualLayout>
                  </c15:layout>
                </c:ext>
                <c:ext xmlns:c16="http://schemas.microsoft.com/office/drawing/2014/chart" uri="{C3380CC4-5D6E-409C-BE32-E72D297353CC}">
                  <c16:uniqueId val="{00000004-92E8-4EF8-9157-904C0AE768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pt-PT"/>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'Cálculo Pegada'!$B$114:$B$117</c:f>
              <c:strCache>
                <c:ptCount val="4"/>
                <c:pt idx="0">
                  <c:v>Combustão Estacionária</c:v>
                </c:pt>
                <c:pt idx="1">
                  <c:v>Combustão Móvel (maquinaria industrial)</c:v>
                </c:pt>
                <c:pt idx="2">
                  <c:v>Combustão Móvel (frota de transporte)</c:v>
                </c:pt>
                <c:pt idx="3">
                  <c:v>Emissões Fugitivas</c:v>
                </c:pt>
              </c:strCache>
            </c:strRef>
          </c:cat>
          <c:val>
            <c:numRef>
              <c:f>'Cálculo Pegada'!$C$114:$C$117</c:f>
              <c:numCache>
                <c:formatCode>#\ ##0.0</c:formatCode>
                <c:ptCount val="4"/>
                <c:pt idx="0">
                  <c:v>0</c:v>
                </c:pt>
                <c:pt idx="1">
                  <c:v>0</c:v>
                </c:pt>
                <c:pt idx="2">
                  <c:v>0</c:v>
                </c:pt>
                <c:pt idx="3">
                  <c:v>0</c:v>
                </c:pt>
              </c:numCache>
            </c:numRef>
          </c:val>
          <c:extLst>
            <c:ext xmlns:c16="http://schemas.microsoft.com/office/drawing/2014/chart" uri="{C3380CC4-5D6E-409C-BE32-E72D297353CC}">
              <c16:uniqueId val="{00000001-CF09-4F08-BB11-906779DD986C}"/>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3.1446540880503146E-3"/>
          <c:y val="0.77160272391919116"/>
          <c:w val="0.9779874213836478"/>
          <c:h val="0.217007754440717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legend>
    <c:plotVisOnly val="1"/>
    <c:dispBlanksAs val="gap"/>
    <c:showDLblsOverMax val="0"/>
  </c:chart>
  <c:spPr>
    <a:solidFill>
      <a:schemeClr val="bg1"/>
    </a:solid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PT" b="1"/>
              <a:t>Emissões Globais - Market Based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manualLayout>
          <c:layoutTarget val="inner"/>
          <c:xMode val="edge"/>
          <c:yMode val="edge"/>
          <c:x val="0.26013321448026544"/>
          <c:y val="0.12665985088993717"/>
          <c:w val="0.49851928886247709"/>
          <c:h val="0.601857000221213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CBC-4400-A8CE-B51EBAAAD7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CBC-4400-A8CE-B51EBAAAD7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PT"/>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'Cálculo Pegada'!$B$130:$B$131</c:f>
              <c:strCache>
                <c:ptCount val="2"/>
                <c:pt idx="0">
                  <c:v>EMISSÕES DIRETAS (ÂMBITO 1)</c:v>
                </c:pt>
                <c:pt idx="1">
                  <c:v>EMISSÕES INDIRETAS - Market Based (ÂMBITO 2)</c:v>
                </c:pt>
              </c:strCache>
            </c:strRef>
          </c:cat>
          <c:val>
            <c:numRef>
              <c:f>'Cálculo Pegada'!$C$130:$C$131</c:f>
              <c:numCache>
                <c:formatCode>0.0</c:formatCode>
                <c:ptCount val="2"/>
                <c:pt idx="0" formatCode="#\ ##0.0">
                  <c:v>0</c:v>
                </c:pt>
                <c:pt idx="1">
                  <c:v>0</c:v>
                </c:pt>
              </c:numCache>
            </c:numRef>
          </c:val>
          <c:extLst>
            <c:ext xmlns:c16="http://schemas.microsoft.com/office/drawing/2014/chart" uri="{C3380CC4-5D6E-409C-BE32-E72D297353CC}">
              <c16:uniqueId val="{00000008-8CBC-4400-A8CE-B51EBAAAD725}"/>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78678875277264604"/>
          <c:w val="0.9779874213836478"/>
          <c:h val="0.118298566893261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legend>
    <c:plotVisOnly val="1"/>
    <c:dispBlanksAs val="gap"/>
    <c:showDLblsOverMax val="0"/>
  </c:chart>
  <c:spPr>
    <a:solidFill>
      <a:schemeClr val="bg1"/>
    </a:solid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PT" b="1"/>
              <a:t>Emissões Globais - Location Based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manualLayout>
          <c:layoutTarget val="inner"/>
          <c:xMode val="edge"/>
          <c:yMode val="edge"/>
          <c:x val="0.26013321448026544"/>
          <c:y val="0.12665985088993717"/>
          <c:w val="0.49851928886247709"/>
          <c:h val="0.601857000221213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EFB-4711-AACC-90349798EE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EFB-4711-AACC-90349798EE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PT"/>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'Cálculo Pegada'!$B$134:$B$135</c:f>
              <c:strCache>
                <c:ptCount val="2"/>
                <c:pt idx="0">
                  <c:v>EMISSÕES DIRETAS (ÂMBITO 1)</c:v>
                </c:pt>
                <c:pt idx="1">
                  <c:v>EMISSÕES INDIRETAS - Location Based (ÂMBITO 2)</c:v>
                </c:pt>
              </c:strCache>
            </c:strRef>
          </c:cat>
          <c:val>
            <c:numRef>
              <c:f>'Cálculo Pegada'!$C$134:$C$135</c:f>
              <c:numCache>
                <c:formatCode>0.0</c:formatCode>
                <c:ptCount val="2"/>
                <c:pt idx="0" formatCode="#\ ##0.0">
                  <c:v>0</c:v>
                </c:pt>
                <c:pt idx="1">
                  <c:v>0</c:v>
                </c:pt>
              </c:numCache>
            </c:numRef>
          </c:val>
          <c:extLst>
            <c:ext xmlns:c16="http://schemas.microsoft.com/office/drawing/2014/chart" uri="{C3380CC4-5D6E-409C-BE32-E72D297353CC}">
              <c16:uniqueId val="{00000004-3EFB-4711-AACC-90349798EE9C}"/>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78678875277264604"/>
          <c:w val="0.9779874213836478"/>
          <c:h val="0.118298566893261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legend>
    <c:plotVisOnly val="1"/>
    <c:dispBlanksAs val="gap"/>
    <c:showDLblsOverMax val="0"/>
  </c:chart>
  <c:spPr>
    <a:solidFill>
      <a:schemeClr val="bg1"/>
    </a:solid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137160</xdr:colOff>
      <xdr:row>113</xdr:row>
      <xdr:rowOff>99060</xdr:rowOff>
    </xdr:from>
    <xdr:to>
      <xdr:col>6</xdr:col>
      <xdr:colOff>403860</xdr:colOff>
      <xdr:row>131</xdr:row>
      <xdr:rowOff>0</xdr:rowOff>
    </xdr:to>
    <xdr:graphicFrame macro="">
      <xdr:nvGraphicFramePr>
        <xdr:cNvPr id="2" name="Gráfico 1">
          <a:extLst>
            <a:ext uri="{FF2B5EF4-FFF2-40B4-BE49-F238E27FC236}">
              <a16:creationId xmlns:a16="http://schemas.microsoft.com/office/drawing/2014/main" id="{17F281F0-D4A9-4BCD-AAAE-4FA5C4F38D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274320</xdr:colOff>
      <xdr:row>113</xdr:row>
      <xdr:rowOff>121920</xdr:rowOff>
    </xdr:from>
    <xdr:to>
      <xdr:col>13</xdr:col>
      <xdr:colOff>45720</xdr:colOff>
      <xdr:row>131</xdr:row>
      <xdr:rowOff>22860</xdr:rowOff>
    </xdr:to>
    <xdr:graphicFrame macro="">
      <xdr:nvGraphicFramePr>
        <xdr:cNvPr id="3" name="Gráfico 2">
          <a:extLst>
            <a:ext uri="{FF2B5EF4-FFF2-40B4-BE49-F238E27FC236}">
              <a16:creationId xmlns:a16="http://schemas.microsoft.com/office/drawing/2014/main" id="{9A906747-DC7E-4B5D-87B3-BCF09985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533400</xdr:colOff>
      <xdr:row>113</xdr:row>
      <xdr:rowOff>106680</xdr:rowOff>
    </xdr:from>
    <xdr:to>
      <xdr:col>19</xdr:col>
      <xdr:colOff>304800</xdr:colOff>
      <xdr:row>131</xdr:row>
      <xdr:rowOff>7620</xdr:rowOff>
    </xdr:to>
    <xdr:graphicFrame macro="">
      <xdr:nvGraphicFramePr>
        <xdr:cNvPr id="4" name="Gráfico 3">
          <a:extLst>
            <a:ext uri="{FF2B5EF4-FFF2-40B4-BE49-F238E27FC236}">
              <a16:creationId xmlns:a16="http://schemas.microsoft.com/office/drawing/2014/main" id="{C56A7DFE-76B6-4EEF-84B2-D392E506C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321734</xdr:colOff>
      <xdr:row>26</xdr:row>
      <xdr:rowOff>143933</xdr:rowOff>
    </xdr:from>
    <xdr:to>
      <xdr:col>6</xdr:col>
      <xdr:colOff>425489</xdr:colOff>
      <xdr:row>51</xdr:row>
      <xdr:rowOff>183746</xdr:rowOff>
    </xdr:to>
    <xdr:pic>
      <xdr:nvPicPr>
        <xdr:cNvPr id="2" name="Imagem 1">
          <a:extLst>
            <a:ext uri="{FF2B5EF4-FFF2-40B4-BE49-F238E27FC236}">
              <a16:creationId xmlns:a16="http://schemas.microsoft.com/office/drawing/2014/main" id="{E6091563-825A-EFA0-98C1-2AEC10CC360E}"/>
            </a:ext>
          </a:extLst>
        </xdr:cNvPr>
        <xdr:cNvPicPr>
          <a:picLocks noChangeAspect="1"/>
        </xdr:cNvPicPr>
      </xdr:nvPicPr>
      <xdr:blipFill>
        <a:blip xmlns:r="http://schemas.openxmlformats.org/officeDocument/2006/relationships" r:embed="rId1"/>
        <a:stretch>
          <a:fillRect/>
        </a:stretch>
      </xdr:blipFill>
      <xdr:spPr>
        <a:xfrm>
          <a:off x="626534" y="4859866"/>
          <a:ext cx="7859222" cy="46964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4</xdr:col>
      <xdr:colOff>924724</xdr:colOff>
      <xdr:row>16</xdr:row>
      <xdr:rowOff>82105</xdr:rowOff>
    </xdr:to>
    <xdr:pic>
      <xdr:nvPicPr>
        <xdr:cNvPr id="2" name="Imagem 1">
          <a:extLst>
            <a:ext uri="{FF2B5EF4-FFF2-40B4-BE49-F238E27FC236}">
              <a16:creationId xmlns:a16="http://schemas.microsoft.com/office/drawing/2014/main" id="{1B011D54-CB89-2ECF-46E4-F117E2FADA36}"/>
            </a:ext>
          </a:extLst>
        </xdr:cNvPr>
        <xdr:cNvPicPr>
          <a:picLocks noChangeAspect="1"/>
        </xdr:cNvPicPr>
      </xdr:nvPicPr>
      <xdr:blipFill>
        <a:blip xmlns:r="http://schemas.openxmlformats.org/officeDocument/2006/relationships" r:embed="rId1"/>
        <a:stretch>
          <a:fillRect/>
        </a:stretch>
      </xdr:blipFill>
      <xdr:spPr>
        <a:xfrm>
          <a:off x="297180" y="1859280"/>
          <a:ext cx="5725324" cy="13622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cenergia.sharepoint.com/sites/AREAS_ATUACAO/Documentos%20Partilhados/Descarboniza&#231;&#227;o/Pegada%20Carb&#243;nica/Minuta%20IST%20APA/calculadora-gee-para-projetos-v1-2024_05_13%20ADAPTADA.xlsx" TargetMode="External"/><Relationship Id="rId1" Type="http://schemas.openxmlformats.org/officeDocument/2006/relationships/externalLinkPath" Target="https://ccenergia.sharepoint.com/sites/AREAS_ATUACAO/Documentos%20Partilhados/Descarboniza&#231;&#227;o/Pegada%20Carb&#243;nica/Minuta%20IST%20APA/calculadora-gee-para-projetos-v1-2024_05_13%20ADAPT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ção"/>
      <sheetName val="Instruções"/>
      <sheetName val="Conteúdos"/>
      <sheetName val="Triagem"/>
      <sheetName val="Dados gerais"/>
      <sheetName val="Combustão Estacionária"/>
      <sheetName val="FACE"/>
      <sheetName val="Categoria 3"/>
      <sheetName val="Combustão Móvel"/>
      <sheetName val="FACM"/>
      <sheetName val="Emissões Fugitivas"/>
      <sheetName val="FAEF"/>
      <sheetName val="Processos Industriais"/>
      <sheetName val="FAEI"/>
      <sheetName val="Outras emissões de processo"/>
      <sheetName val="FAOEP"/>
      <sheetName val="FAAS"/>
      <sheetName val="Energia Elétrica e térmica"/>
      <sheetName val="FAEE"/>
      <sheetName val="Emissões Evitadas"/>
      <sheetName val="FAEV"/>
      <sheetName val="Aquisição de bens e serviços"/>
      <sheetName val="FABCC"/>
      <sheetName val="Uso dos produtos do projeto"/>
      <sheetName val="FAPr"/>
      <sheetName val="FAPCT"/>
      <sheetName val="Resultados"/>
      <sheetName val="Fatores de Emissão"/>
      <sheetName val="Fatores de Conversão"/>
      <sheetName val="Ficha técnic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48">
          <cell r="E248">
            <v>28</v>
          </cell>
        </row>
        <row r="249">
          <cell r="E249">
            <v>265</v>
          </cell>
        </row>
      </sheetData>
      <sheetData sheetId="28"/>
      <sheetData sheetId="2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5A6E3-0E81-46B2-BAA9-FB647178977C}">
  <sheetPr>
    <tabColor rgb="FF66FF33"/>
  </sheetPr>
  <dimension ref="B2:D33"/>
  <sheetViews>
    <sheetView showGridLines="0" topLeftCell="A34" workbookViewId="0">
      <selection activeCell="D18" sqref="D18"/>
    </sheetView>
  </sheetViews>
  <sheetFormatPr defaultRowHeight="14.4" x14ac:dyDescent="0.3"/>
  <cols>
    <col min="1" max="1" width="5" customWidth="1"/>
    <col min="2" max="2" width="92.44140625" customWidth="1"/>
    <col min="3" max="3" width="34.44140625" customWidth="1"/>
    <col min="4" max="4" width="45.5546875" style="17" customWidth="1"/>
  </cols>
  <sheetData>
    <row r="2" spans="2:4" x14ac:dyDescent="0.3">
      <c r="B2" s="22" t="s">
        <v>0</v>
      </c>
    </row>
    <row r="3" spans="2:4" x14ac:dyDescent="0.3">
      <c r="B3" t="s">
        <v>1</v>
      </c>
      <c r="D3"/>
    </row>
    <row r="4" spans="2:4" x14ac:dyDescent="0.3">
      <c r="B4" t="s">
        <v>2</v>
      </c>
      <c r="D4"/>
    </row>
    <row r="5" spans="2:4" x14ac:dyDescent="0.3">
      <c r="B5" t="s">
        <v>3</v>
      </c>
      <c r="D5"/>
    </row>
    <row r="6" spans="2:4" x14ac:dyDescent="0.3">
      <c r="B6" t="s">
        <v>4</v>
      </c>
      <c r="D6"/>
    </row>
    <row r="7" spans="2:4" x14ac:dyDescent="0.3">
      <c r="B7" t="s">
        <v>5</v>
      </c>
      <c r="D7"/>
    </row>
    <row r="9" spans="2:4" x14ac:dyDescent="0.3">
      <c r="B9" s="22" t="s">
        <v>6</v>
      </c>
    </row>
    <row r="10" spans="2:4" x14ac:dyDescent="0.3">
      <c r="B10" s="18" t="s">
        <v>7</v>
      </c>
    </row>
    <row r="11" spans="2:4" x14ac:dyDescent="0.3">
      <c r="B11" s="38" t="s">
        <v>8</v>
      </c>
    </row>
    <row r="12" spans="2:4" x14ac:dyDescent="0.3">
      <c r="B12" s="18" t="s">
        <v>9</v>
      </c>
    </row>
    <row r="13" spans="2:4" x14ac:dyDescent="0.3">
      <c r="B13" s="70" t="s">
        <v>10</v>
      </c>
    </row>
    <row r="14" spans="2:4" x14ac:dyDescent="0.3">
      <c r="B14" s="38" t="s">
        <v>11</v>
      </c>
    </row>
    <row r="15" spans="2:4" x14ac:dyDescent="0.3">
      <c r="D15"/>
    </row>
    <row r="16" spans="2:4" x14ac:dyDescent="0.3">
      <c r="B16" s="70" t="s">
        <v>12</v>
      </c>
      <c r="D16"/>
    </row>
    <row r="17" spans="2:4" x14ac:dyDescent="0.3">
      <c r="B17" s="38" t="s">
        <v>13</v>
      </c>
      <c r="D17"/>
    </row>
    <row r="18" spans="2:4" x14ac:dyDescent="0.3">
      <c r="B18" s="38" t="s">
        <v>14</v>
      </c>
      <c r="D18"/>
    </row>
    <row r="19" spans="2:4" x14ac:dyDescent="0.3">
      <c r="B19" s="38" t="s">
        <v>15</v>
      </c>
      <c r="D19"/>
    </row>
    <row r="20" spans="2:4" x14ac:dyDescent="0.3">
      <c r="D20"/>
    </row>
    <row r="21" spans="2:4" x14ac:dyDescent="0.3">
      <c r="B21" s="18" t="s">
        <v>16</v>
      </c>
      <c r="D21"/>
    </row>
    <row r="22" spans="2:4" x14ac:dyDescent="0.3">
      <c r="B22" s="70" t="s">
        <v>17</v>
      </c>
      <c r="D22"/>
    </row>
    <row r="23" spans="2:4" x14ac:dyDescent="0.3">
      <c r="B23" s="38" t="s">
        <v>18</v>
      </c>
      <c r="D23"/>
    </row>
    <row r="24" spans="2:4" x14ac:dyDescent="0.3">
      <c r="B24" s="38" t="s">
        <v>19</v>
      </c>
      <c r="D24"/>
    </row>
    <row r="25" spans="2:4" x14ac:dyDescent="0.3">
      <c r="B25" s="70" t="s">
        <v>20</v>
      </c>
      <c r="D25"/>
    </row>
    <row r="26" spans="2:4" x14ac:dyDescent="0.3">
      <c r="B26" s="38" t="s">
        <v>21</v>
      </c>
      <c r="D26"/>
    </row>
    <row r="27" spans="2:4" x14ac:dyDescent="0.3">
      <c r="B27" s="38" t="s">
        <v>22</v>
      </c>
      <c r="D27"/>
    </row>
    <row r="29" spans="2:4" x14ac:dyDescent="0.3">
      <c r="B29" s="18" t="s">
        <v>23</v>
      </c>
    </row>
    <row r="30" spans="2:4" x14ac:dyDescent="0.3">
      <c r="B30" s="38" t="s">
        <v>24</v>
      </c>
    </row>
    <row r="32" spans="2:4" x14ac:dyDescent="0.3">
      <c r="B32" s="22" t="s">
        <v>25</v>
      </c>
    </row>
    <row r="33" spans="2:2" x14ac:dyDescent="0.3">
      <c r="B33" s="38" t="s">
        <v>26</v>
      </c>
    </row>
  </sheetData>
  <phoneticPr fontId="30"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26643D5-BB8F-4596-9958-ED495A402DDF}">
          <x14:formula1>
            <xm:f>Unidades!$B$3:$B$8</xm:f>
          </x14:formula1>
          <xm:sqref>F15 F20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2D744-7DF2-42DB-B490-1FD806E26DD4}">
  <sheetPr>
    <tabColor rgb="FFFFC000"/>
  </sheetPr>
  <dimension ref="B2:F8"/>
  <sheetViews>
    <sheetView showGridLines="0" topLeftCell="B1" zoomScale="90" zoomScaleNormal="90" workbookViewId="0">
      <selection activeCell="E22" sqref="E22"/>
    </sheetView>
  </sheetViews>
  <sheetFormatPr defaultRowHeight="14.4" x14ac:dyDescent="0.3"/>
  <cols>
    <col min="1" max="1" width="4" customWidth="1"/>
    <col min="2" max="2" width="76.44140625" customWidth="1"/>
    <col min="3" max="3" width="7.6640625" customWidth="1"/>
    <col min="4" max="4" width="67.6640625" customWidth="1"/>
    <col min="5" max="5" width="67.33203125" customWidth="1"/>
    <col min="6" max="6" width="17.44140625" customWidth="1"/>
  </cols>
  <sheetData>
    <row r="2" spans="2:6" x14ac:dyDescent="0.3">
      <c r="B2" s="95" t="s">
        <v>819</v>
      </c>
      <c r="C2" s="91" t="s">
        <v>788</v>
      </c>
      <c r="D2" s="95" t="s">
        <v>789</v>
      </c>
      <c r="E2" s="95" t="s">
        <v>820</v>
      </c>
      <c r="F2" s="95" t="s">
        <v>91</v>
      </c>
    </row>
    <row r="3" spans="2:6" x14ac:dyDescent="0.3">
      <c r="B3" s="96" t="s">
        <v>821</v>
      </c>
      <c r="C3" s="96"/>
      <c r="D3" s="97" t="str">
        <f>"kg CO2e / "&amp;E3</f>
        <v>kg CO2e / t resíduo sólido enviado para deposição</v>
      </c>
      <c r="E3" s="97" t="s">
        <v>822</v>
      </c>
      <c r="F3" s="96"/>
    </row>
    <row r="4" spans="2:6" x14ac:dyDescent="0.3">
      <c r="B4" s="96" t="s">
        <v>823</v>
      </c>
      <c r="C4" s="97">
        <f>(4*'[1]Fatores de Emissão'!$E$248+0.24*'[1]Fatores de Emissão'!$E$249)/1000</f>
        <v>0.17560000000000001</v>
      </c>
      <c r="D4" s="97" t="str">
        <f>"kg CO2e / "&amp;E4</f>
        <v>kg CO2e / t resíduo sólido enviado para compostagem</v>
      </c>
      <c r="E4" s="97" t="s">
        <v>824</v>
      </c>
      <c r="F4" s="97" t="s">
        <v>825</v>
      </c>
    </row>
    <row r="5" spans="2:6" x14ac:dyDescent="0.3">
      <c r="B5" s="96" t="s">
        <v>826</v>
      </c>
      <c r="C5" s="97">
        <f>(0.8*'[1]Fatores de Emissão'!$E$248+0*'[1]Fatores de Emissão'!$E$249)/1000</f>
        <v>2.2400000000000003E-2</v>
      </c>
      <c r="D5" s="97" t="str">
        <f>"kg CO2e / "&amp;E5</f>
        <v>kg CO2e / t resíduo sólido enviado para digestão anaeróbia</v>
      </c>
      <c r="E5" s="97" t="s">
        <v>827</v>
      </c>
      <c r="F5" s="97" t="s">
        <v>825</v>
      </c>
    </row>
    <row r="6" spans="2:6" x14ac:dyDescent="0.3">
      <c r="B6" s="96" t="s">
        <v>58</v>
      </c>
      <c r="C6" s="96"/>
      <c r="D6" s="97" t="str">
        <f>"kg CO2e / "&amp;E6</f>
        <v>kg CO2e / t resíduo enviado para incineração</v>
      </c>
      <c r="E6" s="97" t="s">
        <v>828</v>
      </c>
      <c r="F6" s="96"/>
    </row>
    <row r="7" spans="2:6" ht="16.2" x14ac:dyDescent="0.3">
      <c r="B7" s="96" t="s">
        <v>829</v>
      </c>
      <c r="C7" s="96"/>
      <c r="D7" s="97" t="str">
        <f>"kg CO2e / "&amp;E7</f>
        <v>kg CO2e / m3 de águas residuais enviadas para tratamento ou descarregadas</v>
      </c>
      <c r="E7" s="97" t="s">
        <v>830</v>
      </c>
      <c r="F7" s="96"/>
    </row>
    <row r="8" spans="2:6" x14ac:dyDescent="0.3">
      <c r="B8" s="96" t="s">
        <v>57</v>
      </c>
      <c r="C8" s="98"/>
      <c r="D8" s="98"/>
      <c r="E8" s="99"/>
      <c r="F8" s="9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64F97-2EAF-4DE0-90EE-A9BAFB1C4A11}">
  <dimension ref="A2:E7"/>
  <sheetViews>
    <sheetView workbookViewId="0">
      <selection activeCell="E4" sqref="E4"/>
    </sheetView>
  </sheetViews>
  <sheetFormatPr defaultRowHeight="14.4" x14ac:dyDescent="0.3"/>
  <cols>
    <col min="1" max="1" width="10.109375" customWidth="1"/>
    <col min="2" max="2" width="16.109375" customWidth="1"/>
    <col min="3" max="3" width="16.6640625" customWidth="1"/>
    <col min="4" max="4" width="31.44140625" customWidth="1"/>
    <col min="5" max="5" width="13.33203125" customWidth="1"/>
    <col min="6" max="6" width="23.5546875" customWidth="1"/>
  </cols>
  <sheetData>
    <row r="2" spans="1:5" x14ac:dyDescent="0.3">
      <c r="A2" s="19" t="s">
        <v>210</v>
      </c>
      <c r="B2" s="19" t="s">
        <v>831</v>
      </c>
      <c r="C2" s="19" t="s">
        <v>832</v>
      </c>
      <c r="D2" s="19" t="s">
        <v>833</v>
      </c>
      <c r="E2" s="19" t="s">
        <v>81</v>
      </c>
    </row>
    <row r="3" spans="1:5" x14ac:dyDescent="0.3">
      <c r="A3" s="17">
        <v>2023</v>
      </c>
      <c r="B3" s="17" t="s">
        <v>834</v>
      </c>
      <c r="C3" s="17"/>
      <c r="D3" s="17" t="s">
        <v>46</v>
      </c>
      <c r="E3" s="17" t="s">
        <v>199</v>
      </c>
    </row>
    <row r="4" spans="1:5" ht="16.2" x14ac:dyDescent="0.3">
      <c r="A4" s="17">
        <v>2024</v>
      </c>
      <c r="B4" s="17" t="s">
        <v>835</v>
      </c>
      <c r="C4" s="17" t="s">
        <v>72</v>
      </c>
      <c r="D4" s="17" t="s">
        <v>54</v>
      </c>
      <c r="E4" s="17" t="s">
        <v>200</v>
      </c>
    </row>
    <row r="5" spans="1:5" x14ac:dyDescent="0.3">
      <c r="A5" s="17">
        <v>2025</v>
      </c>
      <c r="B5" s="17" t="s">
        <v>836</v>
      </c>
      <c r="C5" s="17" t="s">
        <v>837</v>
      </c>
      <c r="D5" s="17" t="s">
        <v>56</v>
      </c>
      <c r="E5" s="17" t="s">
        <v>48</v>
      </c>
    </row>
    <row r="6" spans="1:5" x14ac:dyDescent="0.3">
      <c r="A6" s="17"/>
      <c r="B6" s="17" t="s">
        <v>838</v>
      </c>
      <c r="C6" s="17"/>
      <c r="D6" s="17"/>
      <c r="E6" s="17" t="s">
        <v>201</v>
      </c>
    </row>
    <row r="7" spans="1:5" x14ac:dyDescent="0.3">
      <c r="A7" s="17"/>
      <c r="B7" s="17" t="s">
        <v>839</v>
      </c>
      <c r="C7" s="17"/>
      <c r="D7" s="17"/>
      <c r="E7"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2FFE-1E81-45A3-BC7A-51FE4C49357A}">
  <dimension ref="B3:M29"/>
  <sheetViews>
    <sheetView showGridLines="0" zoomScale="80" zoomScaleNormal="80" workbookViewId="0">
      <selection activeCell="B10" sqref="B10"/>
    </sheetView>
  </sheetViews>
  <sheetFormatPr defaultRowHeight="14.4" x14ac:dyDescent="0.3"/>
  <cols>
    <col min="2" max="2" width="228.44140625" customWidth="1"/>
    <col min="3" max="3" width="1.6640625" customWidth="1"/>
    <col min="4" max="13" width="8.88671875" hidden="1" customWidth="1"/>
  </cols>
  <sheetData>
    <row r="3" spans="2:13" ht="18" x14ac:dyDescent="0.3">
      <c r="B3" s="149" t="s">
        <v>871</v>
      </c>
      <c r="C3" s="142"/>
      <c r="D3" s="142"/>
      <c r="E3" s="143"/>
      <c r="F3" s="143"/>
      <c r="G3" s="143"/>
      <c r="H3" s="143"/>
      <c r="I3" s="143"/>
      <c r="J3" s="143"/>
      <c r="K3" s="143"/>
      <c r="L3" s="143"/>
      <c r="M3" s="143"/>
    </row>
    <row r="4" spans="2:13" ht="31.2" x14ac:dyDescent="0.3">
      <c r="B4" s="146" t="s">
        <v>872</v>
      </c>
      <c r="C4" s="142"/>
      <c r="D4" s="142"/>
      <c r="E4" s="143"/>
      <c r="F4" s="143"/>
      <c r="G4" s="143"/>
      <c r="H4" s="143"/>
      <c r="I4" s="143"/>
      <c r="J4" s="143"/>
      <c r="K4" s="143"/>
      <c r="L4" s="143"/>
      <c r="M4" s="143"/>
    </row>
    <row r="5" spans="2:13" x14ac:dyDescent="0.3">
      <c r="B5" s="147"/>
      <c r="C5" s="142"/>
      <c r="D5" s="142"/>
      <c r="E5" s="143"/>
      <c r="F5" s="143"/>
      <c r="G5" s="143"/>
      <c r="H5" s="143"/>
      <c r="I5" s="143"/>
      <c r="J5" s="143"/>
      <c r="K5" s="143"/>
      <c r="L5" s="143"/>
      <c r="M5" s="143"/>
    </row>
    <row r="6" spans="2:13" ht="18" x14ac:dyDescent="0.3">
      <c r="B6" s="149" t="s">
        <v>874</v>
      </c>
      <c r="C6" s="142"/>
      <c r="D6" s="142"/>
      <c r="E6" s="143"/>
      <c r="F6" s="143"/>
      <c r="G6" s="143"/>
      <c r="H6" s="143"/>
      <c r="I6" s="143"/>
      <c r="J6" s="143"/>
      <c r="K6" s="143"/>
      <c r="L6" s="143"/>
      <c r="M6" s="143"/>
    </row>
    <row r="7" spans="2:13" ht="113.4" customHeight="1" x14ac:dyDescent="0.3">
      <c r="B7" s="146" t="s">
        <v>873</v>
      </c>
      <c r="C7" s="142"/>
      <c r="D7" s="142"/>
      <c r="E7" s="143"/>
      <c r="F7" s="143"/>
      <c r="G7" s="143"/>
      <c r="H7" s="143"/>
      <c r="I7" s="143"/>
      <c r="J7" s="143"/>
      <c r="K7" s="143"/>
      <c r="L7" s="143"/>
      <c r="M7" s="143"/>
    </row>
    <row r="8" spans="2:13" ht="21" customHeight="1" x14ac:dyDescent="0.3">
      <c r="B8" s="148"/>
      <c r="C8" s="144"/>
      <c r="D8" s="144"/>
      <c r="E8" s="144"/>
      <c r="F8" s="144"/>
      <c r="G8" s="144"/>
      <c r="H8" s="144"/>
      <c r="I8" s="144"/>
      <c r="J8" s="144"/>
      <c r="K8" s="144"/>
      <c r="L8" s="144"/>
      <c r="M8" s="144"/>
    </row>
    <row r="9" spans="2:13" ht="18" x14ac:dyDescent="0.3">
      <c r="B9" s="149" t="s">
        <v>84</v>
      </c>
      <c r="C9" s="142"/>
      <c r="D9" s="142"/>
      <c r="E9" s="143"/>
      <c r="F9" s="143"/>
      <c r="G9" s="143"/>
      <c r="H9" s="143"/>
      <c r="I9" s="143"/>
      <c r="J9" s="143"/>
      <c r="K9" s="143"/>
      <c r="L9" s="143"/>
      <c r="M9" s="143"/>
    </row>
    <row r="10" spans="2:13" ht="88.2" customHeight="1" x14ac:dyDescent="0.3">
      <c r="B10" s="146" t="s">
        <v>875</v>
      </c>
      <c r="C10" s="142"/>
      <c r="D10" s="142"/>
      <c r="E10" s="143"/>
      <c r="F10" s="143"/>
      <c r="G10" s="143"/>
      <c r="H10" s="143"/>
      <c r="I10" s="143"/>
      <c r="J10" s="143"/>
      <c r="K10" s="143"/>
      <c r="L10" s="143"/>
      <c r="M10" s="143"/>
    </row>
    <row r="28" spans="2:2" x14ac:dyDescent="0.3">
      <c r="B28" s="145"/>
    </row>
    <row r="29" spans="2:2" x14ac:dyDescent="0.3">
      <c r="B29" s="145"/>
    </row>
  </sheetData>
  <sheetProtection algorithmName="SHA-512" hashValue="ps+lf+qI/558MYYcAE/kVPbJb9HV+S4J6hTiWbH+hDl1QO9C22W5YzRSCiHz6vYhB6e9D3qKVCnGpFYfShUL9Q==" saltValue="QEGWtHUZNoa3irOqzsuqA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109C4-4275-4332-A729-92DC084E3C01}">
  <dimension ref="B2:F136"/>
  <sheetViews>
    <sheetView showGridLines="0" tabSelected="1" workbookViewId="0">
      <selection activeCell="J6" sqref="J6"/>
    </sheetView>
  </sheetViews>
  <sheetFormatPr defaultRowHeight="14.4" outlineLevelRow="1" x14ac:dyDescent="0.3"/>
  <cols>
    <col min="1" max="1" width="5" customWidth="1"/>
    <col min="2" max="2" width="44.33203125" customWidth="1"/>
    <col min="3" max="3" width="37.5546875" customWidth="1"/>
    <col min="4" max="4" width="14.21875" style="17" customWidth="1"/>
    <col min="6" max="6" width="31.88671875" customWidth="1"/>
  </cols>
  <sheetData>
    <row r="2" spans="2:6" ht="18" x14ac:dyDescent="0.35">
      <c r="B2" s="162" t="s">
        <v>863</v>
      </c>
      <c r="C2" s="163"/>
    </row>
    <row r="3" spans="2:6" x14ac:dyDescent="0.3">
      <c r="B3" s="132" t="s">
        <v>1</v>
      </c>
      <c r="C3" s="153"/>
      <c r="D3"/>
      <c r="F3" s="1" t="s">
        <v>27</v>
      </c>
    </row>
    <row r="4" spans="2:6" x14ac:dyDescent="0.3">
      <c r="B4" s="131" t="s">
        <v>2</v>
      </c>
      <c r="C4" s="152"/>
      <c r="D4"/>
      <c r="F4" s="2" t="s">
        <v>28</v>
      </c>
    </row>
    <row r="5" spans="2:6" x14ac:dyDescent="0.3">
      <c r="B5" s="132" t="s">
        <v>3</v>
      </c>
      <c r="C5" s="158"/>
      <c r="D5"/>
      <c r="F5" s="40" t="s">
        <v>29</v>
      </c>
    </row>
    <row r="6" spans="2:6" x14ac:dyDescent="0.3">
      <c r="B6" s="131" t="s">
        <v>4</v>
      </c>
      <c r="C6" s="158"/>
      <c r="D6"/>
    </row>
    <row r="7" spans="2:6" x14ac:dyDescent="0.3">
      <c r="B7" s="132" t="s">
        <v>5</v>
      </c>
      <c r="C7" s="158"/>
      <c r="D7"/>
    </row>
    <row r="9" spans="2:6" ht="18" x14ac:dyDescent="0.35">
      <c r="B9" s="162" t="s">
        <v>76</v>
      </c>
      <c r="C9" s="163"/>
      <c r="D9" s="125"/>
    </row>
    <row r="10" spans="2:6" ht="15.6" x14ac:dyDescent="0.3">
      <c r="B10" s="164" t="s">
        <v>864</v>
      </c>
      <c r="C10" s="165"/>
      <c r="D10" s="125"/>
    </row>
    <row r="11" spans="2:6" x14ac:dyDescent="0.3">
      <c r="B11" s="133" t="s">
        <v>30</v>
      </c>
      <c r="C11" s="152"/>
      <c r="D11" s="125"/>
    </row>
    <row r="12" spans="2:6" x14ac:dyDescent="0.3">
      <c r="B12" s="131" t="s">
        <v>845</v>
      </c>
      <c r="C12" s="153"/>
      <c r="D12" s="125" t="str">
        <f>IF(C11="","",VLOOKUP(C11,FE_Combustíveis!$B$5:$C$49,2))</f>
        <v/>
      </c>
    </row>
    <row r="13" spans="2:6" hidden="1" outlineLevel="1" x14ac:dyDescent="0.3">
      <c r="B13" s="129" t="s">
        <v>33</v>
      </c>
      <c r="C13" s="138" t="e">
        <f>VLOOKUP(C11,FE_Combustíveis!$B$5:$H$49,7,FALSE)</f>
        <v>#N/A</v>
      </c>
      <c r="D13" s="126" t="s">
        <v>34</v>
      </c>
    </row>
    <row r="14" spans="2:6" ht="15.6" hidden="1" outlineLevel="1" x14ac:dyDescent="0.35">
      <c r="B14" s="129" t="s">
        <v>35</v>
      </c>
      <c r="C14" s="138">
        <f>IFERROR(C12*C13/1000,0)</f>
        <v>0</v>
      </c>
      <c r="D14" s="126" t="s">
        <v>36</v>
      </c>
    </row>
    <row r="15" spans="2:6" collapsed="1" x14ac:dyDescent="0.3">
      <c r="B15" s="134" t="s">
        <v>37</v>
      </c>
      <c r="C15" s="152"/>
      <c r="D15" s="125"/>
    </row>
    <row r="16" spans="2:6" x14ac:dyDescent="0.3">
      <c r="B16" s="132" t="s">
        <v>846</v>
      </c>
      <c r="C16" s="153"/>
      <c r="D16" s="125" t="str">
        <f>IF(C15="","",VLOOKUP(C15,FE_Combustíveis!$B$5:$C$49,2))</f>
        <v/>
      </c>
    </row>
    <row r="17" spans="2:4" hidden="1" outlineLevel="1" x14ac:dyDescent="0.3">
      <c r="B17" s="129" t="s">
        <v>33</v>
      </c>
      <c r="C17" s="138" t="e">
        <f>VLOOKUP(C15,FE_Combustíveis!$B$5:$H$49,7,FALSE)</f>
        <v>#N/A</v>
      </c>
      <c r="D17" s="126" t="s">
        <v>34</v>
      </c>
    </row>
    <row r="18" spans="2:4" ht="15.6" hidden="1" outlineLevel="1" x14ac:dyDescent="0.35">
      <c r="B18" s="129" t="s">
        <v>35</v>
      </c>
      <c r="C18" s="138">
        <f>IFERROR(C16*C17/1000,0)</f>
        <v>0</v>
      </c>
      <c r="D18" s="126" t="s">
        <v>36</v>
      </c>
    </row>
    <row r="19" spans="2:4" collapsed="1" x14ac:dyDescent="0.3">
      <c r="B19" s="133" t="s">
        <v>38</v>
      </c>
      <c r="C19" s="152"/>
      <c r="D19" s="125"/>
    </row>
    <row r="20" spans="2:4" x14ac:dyDescent="0.3">
      <c r="B20" s="131" t="s">
        <v>847</v>
      </c>
      <c r="C20" s="153"/>
      <c r="D20" s="125" t="str">
        <f>IF(C19="","",VLOOKUP(C19,FE_Combustíveis!$B$5:$C$49,2))</f>
        <v/>
      </c>
    </row>
    <row r="21" spans="2:4" hidden="1" outlineLevel="1" x14ac:dyDescent="0.3">
      <c r="B21" s="129" t="s">
        <v>33</v>
      </c>
      <c r="C21" s="138" t="e">
        <f>VLOOKUP(C19,FE_Combustíveis!$B$5:$H$49,7,FALSE)</f>
        <v>#N/A</v>
      </c>
      <c r="D21" s="126" t="s">
        <v>34</v>
      </c>
    </row>
    <row r="22" spans="2:4" ht="15.6" hidden="1" outlineLevel="1" x14ac:dyDescent="0.35">
      <c r="B22" s="129" t="s">
        <v>35</v>
      </c>
      <c r="C22" s="138">
        <f>IFERROR(C20*C21/1000,0)</f>
        <v>0</v>
      </c>
      <c r="D22" s="126" t="s">
        <v>36</v>
      </c>
    </row>
    <row r="23" spans="2:4" collapsed="1" x14ac:dyDescent="0.3">
      <c r="B23" s="134" t="s">
        <v>39</v>
      </c>
      <c r="C23" s="152"/>
      <c r="D23" s="125"/>
    </row>
    <row r="24" spans="2:4" x14ac:dyDescent="0.3">
      <c r="B24" s="132" t="s">
        <v>848</v>
      </c>
      <c r="C24" s="153"/>
      <c r="D24" s="125" t="str">
        <f>IF(C23="","",VLOOKUP(C23,FE_Combustíveis!$B$5:$C$49,2))</f>
        <v/>
      </c>
    </row>
    <row r="25" spans="2:4" ht="15.6" hidden="1" outlineLevel="1" x14ac:dyDescent="0.35">
      <c r="B25" s="129" t="s">
        <v>33</v>
      </c>
      <c r="C25" s="138" t="e">
        <f>VLOOKUP(C23,FE_Combustíveis!$B$5:$H$49,7,FALSE)</f>
        <v>#N/A</v>
      </c>
      <c r="D25" s="126" t="s">
        <v>40</v>
      </c>
    </row>
    <row r="26" spans="2:4" ht="15.6" hidden="1" outlineLevel="1" x14ac:dyDescent="0.35">
      <c r="B26" s="129" t="s">
        <v>35</v>
      </c>
      <c r="C26" s="138">
        <f>IFERROR(C24*C25/1000,0)</f>
        <v>0</v>
      </c>
      <c r="D26" s="126" t="s">
        <v>36</v>
      </c>
    </row>
    <row r="27" spans="2:4" ht="15.6" collapsed="1" x14ac:dyDescent="0.3">
      <c r="B27" s="164" t="s">
        <v>865</v>
      </c>
      <c r="C27" s="165"/>
      <c r="D27" s="125"/>
    </row>
    <row r="28" spans="2:4" x14ac:dyDescent="0.3">
      <c r="B28" s="168" t="s">
        <v>866</v>
      </c>
      <c r="C28" s="169"/>
      <c r="D28" s="127"/>
    </row>
    <row r="29" spans="2:4" x14ac:dyDescent="0.3">
      <c r="B29" s="133" t="s">
        <v>41</v>
      </c>
      <c r="C29" s="152"/>
      <c r="D29" s="125"/>
    </row>
    <row r="30" spans="2:4" x14ac:dyDescent="0.3">
      <c r="B30" s="133" t="s">
        <v>849</v>
      </c>
      <c r="C30" s="153"/>
      <c r="D30" s="125" t="str">
        <f>IF(C29="","",VLOOKUP(C29,FE_Combustíveis!$B$5:$C$49,2))</f>
        <v/>
      </c>
    </row>
    <row r="31" spans="2:4" hidden="1" outlineLevel="1" x14ac:dyDescent="0.3">
      <c r="B31" s="135" t="s">
        <v>33</v>
      </c>
      <c r="C31" s="136" t="e">
        <f>VLOOKUP(C29,FE_Transportes!$B$5:$H$10,7,FALSE)</f>
        <v>#N/A</v>
      </c>
      <c r="D31" s="126" t="s">
        <v>34</v>
      </c>
    </row>
    <row r="32" spans="2:4" ht="15.6" hidden="1" outlineLevel="1" x14ac:dyDescent="0.35">
      <c r="B32" s="135" t="s">
        <v>853</v>
      </c>
      <c r="C32" s="138">
        <f>IFERROR(C30*C31/1000,0)</f>
        <v>0</v>
      </c>
      <c r="D32" s="126" t="s">
        <v>36</v>
      </c>
    </row>
    <row r="33" spans="2:4" collapsed="1" x14ac:dyDescent="0.3">
      <c r="B33" s="134" t="s">
        <v>43</v>
      </c>
      <c r="C33" s="152"/>
      <c r="D33" s="125"/>
    </row>
    <row r="34" spans="2:4" x14ac:dyDescent="0.3">
      <c r="B34" s="134" t="s">
        <v>850</v>
      </c>
      <c r="C34" s="153"/>
      <c r="D34" s="125" t="str">
        <f>IF(C33="","",VLOOKUP(C33,FE_Combustíveis!$B$5:$C$49,2))</f>
        <v/>
      </c>
    </row>
    <row r="35" spans="2:4" hidden="1" outlineLevel="1" x14ac:dyDescent="0.3">
      <c r="B35" s="135" t="s">
        <v>33</v>
      </c>
      <c r="C35" s="136" t="e">
        <f>VLOOKUP(C33,FE_Transportes!$B$5:$H$10,7,FALSE)</f>
        <v>#N/A</v>
      </c>
      <c r="D35" s="126" t="s">
        <v>34</v>
      </c>
    </row>
    <row r="36" spans="2:4" ht="15.6" hidden="1" outlineLevel="1" x14ac:dyDescent="0.35">
      <c r="B36" s="135" t="s">
        <v>853</v>
      </c>
      <c r="C36" s="138">
        <f>IFERROR(C34*C35/1000,0)</f>
        <v>0</v>
      </c>
      <c r="D36" s="126" t="s">
        <v>36</v>
      </c>
    </row>
    <row r="37" spans="2:4" collapsed="1" x14ac:dyDescent="0.3">
      <c r="B37" s="133" t="s">
        <v>44</v>
      </c>
      <c r="C37" s="152"/>
      <c r="D37" s="125"/>
    </row>
    <row r="38" spans="2:4" x14ac:dyDescent="0.3">
      <c r="B38" s="133" t="s">
        <v>851</v>
      </c>
      <c r="C38" s="153"/>
      <c r="D38" s="125" t="str">
        <f>IF(C37="","",VLOOKUP(C37,FE_Combustíveis!$B$5:$C$49,2))</f>
        <v/>
      </c>
    </row>
    <row r="39" spans="2:4" hidden="1" outlineLevel="1" x14ac:dyDescent="0.3">
      <c r="B39" s="135" t="s">
        <v>33</v>
      </c>
      <c r="C39" s="136" t="e">
        <f>VLOOKUP(C37,FE_Transportes!$B$5:$H$10,7,FALSE)</f>
        <v>#N/A</v>
      </c>
      <c r="D39" s="126" t="s">
        <v>34</v>
      </c>
    </row>
    <row r="40" spans="2:4" ht="15.6" hidden="1" outlineLevel="1" x14ac:dyDescent="0.35">
      <c r="B40" s="135" t="s">
        <v>853</v>
      </c>
      <c r="C40" s="138">
        <f>IFERROR(C38*C39/1000,0)</f>
        <v>0</v>
      </c>
      <c r="D40" s="126" t="s">
        <v>36</v>
      </c>
    </row>
    <row r="41" spans="2:4" collapsed="1" x14ac:dyDescent="0.3">
      <c r="B41" s="134" t="s">
        <v>45</v>
      </c>
      <c r="C41" s="152"/>
      <c r="D41" s="125"/>
    </row>
    <row r="42" spans="2:4" x14ac:dyDescent="0.3">
      <c r="B42" s="134" t="s">
        <v>852</v>
      </c>
      <c r="C42" s="153"/>
      <c r="D42" s="125" t="str">
        <f>IF(C41="","",VLOOKUP(C41,FE_Combustíveis!$B$5:$C$49,2))</f>
        <v/>
      </c>
    </row>
    <row r="43" spans="2:4" hidden="1" outlineLevel="1" x14ac:dyDescent="0.3">
      <c r="B43" s="129" t="s">
        <v>33</v>
      </c>
      <c r="C43" s="136" t="e">
        <f>VLOOKUP(C41,FE_Transportes!$B$5:$H$10,7,FALSE)</f>
        <v>#N/A</v>
      </c>
      <c r="D43" s="37" t="s">
        <v>34</v>
      </c>
    </row>
    <row r="44" spans="2:4" ht="15.6" hidden="1" outlineLevel="1" x14ac:dyDescent="0.35">
      <c r="B44" s="129" t="s">
        <v>35</v>
      </c>
      <c r="C44" s="138">
        <f>IFERROR(C42*C43/1000,0)</f>
        <v>0</v>
      </c>
      <c r="D44" s="37" t="s">
        <v>36</v>
      </c>
    </row>
    <row r="45" spans="2:4" collapsed="1" x14ac:dyDescent="0.3">
      <c r="B45" s="168" t="s">
        <v>867</v>
      </c>
      <c r="C45" s="169"/>
      <c r="D45" s="127"/>
    </row>
    <row r="46" spans="2:4" x14ac:dyDescent="0.3">
      <c r="B46" s="170" t="s">
        <v>46</v>
      </c>
      <c r="C46" s="171"/>
      <c r="D46"/>
    </row>
    <row r="47" spans="2:4" x14ac:dyDescent="0.3">
      <c r="B47" s="131" t="s">
        <v>854</v>
      </c>
      <c r="C47" s="155"/>
      <c r="D47"/>
    </row>
    <row r="48" spans="2:4" x14ac:dyDescent="0.3">
      <c r="B48" s="131" t="s">
        <v>49</v>
      </c>
      <c r="C48" s="157"/>
      <c r="D48" s="125"/>
    </row>
    <row r="49" spans="2:4" ht="15.6" hidden="1" outlineLevel="1" x14ac:dyDescent="0.35">
      <c r="B49" s="129" t="s">
        <v>50</v>
      </c>
      <c r="C49" s="136" t="e">
        <f>VLOOKUP($C$47,FE_Transportes_1!C8:D11,2,FALSE)</f>
        <v>#N/A</v>
      </c>
      <c r="D49" s="37" t="s">
        <v>51</v>
      </c>
    </row>
    <row r="50" spans="2:4" ht="15.6" hidden="1" outlineLevel="1" x14ac:dyDescent="0.35">
      <c r="B50" s="129" t="s">
        <v>52</v>
      </c>
      <c r="C50" s="136" t="e">
        <f>VLOOKUP($C$47,FE_Transportes_1!C8:G11,4,FALSE)</f>
        <v>#N/A</v>
      </c>
      <c r="D50" s="37" t="s">
        <v>51</v>
      </c>
    </row>
    <row r="51" spans="2:4" ht="15.6" hidden="1" outlineLevel="1" x14ac:dyDescent="0.35">
      <c r="B51" s="129" t="s">
        <v>53</v>
      </c>
      <c r="C51" s="136" t="e">
        <f>VLOOKUP(C47,FE_Transportes_1!C8:I11,6,FALSE)</f>
        <v>#N/A</v>
      </c>
      <c r="D51" s="37" t="s">
        <v>51</v>
      </c>
    </row>
    <row r="52" spans="2:4" ht="15.6" hidden="1" outlineLevel="1" x14ac:dyDescent="0.35">
      <c r="B52" s="129" t="s">
        <v>35</v>
      </c>
      <c r="C52" s="141">
        <f>IFERROR(((C48*C49)+(C48*C50)+(C48*C51))/1000,0)</f>
        <v>0</v>
      </c>
      <c r="D52" s="37" t="s">
        <v>36</v>
      </c>
    </row>
    <row r="53" spans="2:4" collapsed="1" x14ac:dyDescent="0.3">
      <c r="B53" s="132" t="s">
        <v>855</v>
      </c>
      <c r="C53" s="152"/>
    </row>
    <row r="54" spans="2:4" x14ac:dyDescent="0.3">
      <c r="B54" s="132" t="s">
        <v>49</v>
      </c>
      <c r="C54" s="157"/>
    </row>
    <row r="55" spans="2:4" ht="15.6" hidden="1" outlineLevel="1" x14ac:dyDescent="0.35">
      <c r="B55" s="129" t="s">
        <v>50</v>
      </c>
      <c r="C55" s="136" t="e">
        <f>VLOOKUP($C$53,FE_Transportes_1!C8:D11,2,FALSE)</f>
        <v>#N/A</v>
      </c>
    </row>
    <row r="56" spans="2:4" ht="15.6" hidden="1" outlineLevel="1" x14ac:dyDescent="0.35">
      <c r="B56" s="129" t="s">
        <v>52</v>
      </c>
      <c r="C56" s="136" t="e">
        <f>VLOOKUP($C$53,FE_Transportes_1!C8:G11,4,FALSE)</f>
        <v>#N/A</v>
      </c>
    </row>
    <row r="57" spans="2:4" ht="15.6" hidden="1" outlineLevel="1" x14ac:dyDescent="0.35">
      <c r="B57" s="129" t="s">
        <v>53</v>
      </c>
      <c r="C57" s="136" t="e">
        <f>VLOOKUP(C53,FE_Transportes_1!C8:I11,6,FALSE)</f>
        <v>#N/A</v>
      </c>
    </row>
    <row r="58" spans="2:4" ht="15.6" hidden="1" outlineLevel="1" x14ac:dyDescent="0.35">
      <c r="B58" s="129" t="s">
        <v>35</v>
      </c>
      <c r="C58" s="141">
        <f>IFERROR(((C54*C55)+(C54*C56)+(C54*C57))/1000,0)</f>
        <v>0</v>
      </c>
    </row>
    <row r="59" spans="2:4" collapsed="1" x14ac:dyDescent="0.3">
      <c r="B59" s="131" t="s">
        <v>856</v>
      </c>
      <c r="C59" s="152"/>
    </row>
    <row r="60" spans="2:4" x14ac:dyDescent="0.3">
      <c r="B60" s="131" t="s">
        <v>49</v>
      </c>
      <c r="C60" s="157"/>
    </row>
    <row r="61" spans="2:4" ht="15.6" hidden="1" outlineLevel="1" x14ac:dyDescent="0.35">
      <c r="B61" s="129" t="s">
        <v>50</v>
      </c>
      <c r="C61" s="136" t="e">
        <f>VLOOKUP($C$59,FE_Transportes_1!C8:D11,2,FALSE)</f>
        <v>#N/A</v>
      </c>
    </row>
    <row r="62" spans="2:4" ht="15.6" hidden="1" outlineLevel="1" x14ac:dyDescent="0.35">
      <c r="B62" s="129" t="s">
        <v>52</v>
      </c>
      <c r="C62" s="136" t="e">
        <f>VLOOKUP($C$59,FE_Transportes_1!C8:G11,4,FALSE)</f>
        <v>#N/A</v>
      </c>
    </row>
    <row r="63" spans="2:4" ht="15.6" hidden="1" outlineLevel="1" x14ac:dyDescent="0.35">
      <c r="B63" s="129" t="s">
        <v>53</v>
      </c>
      <c r="C63" s="136" t="e">
        <f>VLOOKUP(C59,FE_Transportes_1!C8:I11,6,FALSE)</f>
        <v>#N/A</v>
      </c>
    </row>
    <row r="64" spans="2:4" ht="15.6" hidden="1" outlineLevel="1" x14ac:dyDescent="0.35">
      <c r="B64" s="129" t="s">
        <v>35</v>
      </c>
      <c r="C64" s="141">
        <f>IFERROR(((C60*C61)+(C60*C62)+(C60*C63))/1000,0)</f>
        <v>0</v>
      </c>
    </row>
    <row r="65" spans="2:4" collapsed="1" x14ac:dyDescent="0.3">
      <c r="B65" s="132" t="s">
        <v>857</v>
      </c>
      <c r="C65" s="152"/>
    </row>
    <row r="66" spans="2:4" x14ac:dyDescent="0.3">
      <c r="B66" s="132" t="s">
        <v>49</v>
      </c>
      <c r="C66" s="154"/>
    </row>
    <row r="67" spans="2:4" ht="15.6" hidden="1" outlineLevel="1" x14ac:dyDescent="0.35">
      <c r="B67" s="129" t="s">
        <v>50</v>
      </c>
      <c r="C67" s="136" t="e">
        <f>VLOOKUP($C$65,FE_Transportes_1!C8:D11,2,FALSE)</f>
        <v>#N/A</v>
      </c>
    </row>
    <row r="68" spans="2:4" ht="15.6" hidden="1" outlineLevel="1" x14ac:dyDescent="0.35">
      <c r="B68" s="129" t="s">
        <v>52</v>
      </c>
      <c r="C68" s="136" t="e">
        <f>VLOOKUP($C$65,FE_Transportes_1!C8:G11,4,FALSE)</f>
        <v>#N/A</v>
      </c>
    </row>
    <row r="69" spans="2:4" ht="15.6" hidden="1" outlineLevel="1" x14ac:dyDescent="0.35">
      <c r="B69" s="129" t="s">
        <v>53</v>
      </c>
      <c r="C69" s="136" t="e">
        <f>VLOOKUP(C65,FE_Transportes_1!C8:I11,6,FALSE)</f>
        <v>#N/A</v>
      </c>
    </row>
    <row r="70" spans="2:4" ht="15.6" hidden="1" outlineLevel="1" x14ac:dyDescent="0.35">
      <c r="B70" s="129" t="s">
        <v>35</v>
      </c>
      <c r="C70" s="138">
        <f>IFERROR(((C66*C67)+(C66*C68)+(C66*C69))/1000,0)</f>
        <v>0</v>
      </c>
    </row>
    <row r="71" spans="2:4" collapsed="1" x14ac:dyDescent="0.3">
      <c r="B71" s="170" t="s">
        <v>54</v>
      </c>
      <c r="C71" s="171"/>
      <c r="D71"/>
    </row>
    <row r="72" spans="2:4" x14ac:dyDescent="0.3">
      <c r="B72" s="131" t="s">
        <v>854</v>
      </c>
      <c r="C72" s="155"/>
      <c r="D72"/>
    </row>
    <row r="73" spans="2:4" x14ac:dyDescent="0.3">
      <c r="B73" s="131" t="s">
        <v>49</v>
      </c>
      <c r="C73" s="154"/>
      <c r="D73" s="125"/>
    </row>
    <row r="74" spans="2:4" ht="15.6" hidden="1" outlineLevel="1" x14ac:dyDescent="0.35">
      <c r="B74" s="129" t="s">
        <v>50</v>
      </c>
      <c r="C74" s="136" t="e">
        <f>VLOOKUP($C$72,FE_Transportes_1!$C$12:$I$13,2,FALSE)</f>
        <v>#N/A</v>
      </c>
      <c r="D74" s="37" t="s">
        <v>51</v>
      </c>
    </row>
    <row r="75" spans="2:4" ht="15.6" hidden="1" outlineLevel="1" x14ac:dyDescent="0.35">
      <c r="B75" s="129" t="s">
        <v>52</v>
      </c>
      <c r="C75" s="136" t="e">
        <f>VLOOKUP($C$72,FE_Transportes_1!$C$12:$I$13,4,FALSE)</f>
        <v>#N/A</v>
      </c>
      <c r="D75" s="37" t="s">
        <v>51</v>
      </c>
    </row>
    <row r="76" spans="2:4" ht="15.6" hidden="1" outlineLevel="1" x14ac:dyDescent="0.35">
      <c r="B76" s="129" t="s">
        <v>53</v>
      </c>
      <c r="C76" s="136" t="e">
        <f>VLOOKUP($C$72,FE_Transportes_1!$C$12:$I$13,6,FALSE)</f>
        <v>#N/A</v>
      </c>
      <c r="D76" s="37" t="s">
        <v>51</v>
      </c>
    </row>
    <row r="77" spans="2:4" ht="15.6" hidden="1" outlineLevel="1" x14ac:dyDescent="0.35">
      <c r="B77" s="129" t="s">
        <v>35</v>
      </c>
      <c r="C77" s="141">
        <f>IFERROR(((C73*C74)+(C73*C75)+(C73*C76))/1000,0)</f>
        <v>0</v>
      </c>
      <c r="D77" s="37" t="s">
        <v>36</v>
      </c>
    </row>
    <row r="78" spans="2:4" collapsed="1" x14ac:dyDescent="0.3">
      <c r="B78" s="132" t="s">
        <v>855</v>
      </c>
      <c r="C78" s="155"/>
      <c r="D78" s="126"/>
    </row>
    <row r="79" spans="2:4" x14ac:dyDescent="0.3">
      <c r="B79" s="132" t="s">
        <v>49</v>
      </c>
      <c r="C79" s="156"/>
      <c r="D79" s="126"/>
    </row>
    <row r="80" spans="2:4" ht="15.6" hidden="1" outlineLevel="1" x14ac:dyDescent="0.35">
      <c r="B80" s="129" t="s">
        <v>50</v>
      </c>
      <c r="C80" s="136" t="e">
        <f>VLOOKUP($C$78,FE_Transportes_1!$C$12:$I$13,2,FALSE)</f>
        <v>#N/A</v>
      </c>
      <c r="D80" s="37"/>
    </row>
    <row r="81" spans="2:4" ht="15.6" hidden="1" outlineLevel="1" x14ac:dyDescent="0.35">
      <c r="B81" s="129" t="s">
        <v>52</v>
      </c>
      <c r="C81" s="136" t="e">
        <f>VLOOKUP($C$78,FE_Transportes_1!$C$12:$I$13,4,FALSE)</f>
        <v>#N/A</v>
      </c>
      <c r="D81" s="37"/>
    </row>
    <row r="82" spans="2:4" ht="15.6" hidden="1" outlineLevel="1" x14ac:dyDescent="0.35">
      <c r="B82" s="129" t="s">
        <v>53</v>
      </c>
      <c r="C82" s="136" t="e">
        <f>VLOOKUP($C$78,FE_Transportes_1!$C$12:$I$13,6,FALSE)</f>
        <v>#N/A</v>
      </c>
      <c r="D82" s="37"/>
    </row>
    <row r="83" spans="2:4" ht="15.6" hidden="1" outlineLevel="1" x14ac:dyDescent="0.35">
      <c r="B83" s="129" t="s">
        <v>35</v>
      </c>
      <c r="C83" s="141">
        <f>IFERROR(((C79*C80)+(C79*C81)+(C79*C82))/1000,0)</f>
        <v>0</v>
      </c>
      <c r="D83" s="37"/>
    </row>
    <row r="84" spans="2:4" collapsed="1" x14ac:dyDescent="0.3">
      <c r="B84" s="170" t="s">
        <v>56</v>
      </c>
      <c r="C84" s="171"/>
      <c r="D84"/>
    </row>
    <row r="85" spans="2:4" x14ac:dyDescent="0.3">
      <c r="B85" s="132" t="s">
        <v>47</v>
      </c>
      <c r="C85" s="152"/>
      <c r="D85"/>
    </row>
    <row r="86" spans="2:4" x14ac:dyDescent="0.3">
      <c r="B86" s="132" t="s">
        <v>49</v>
      </c>
      <c r="C86" s="154"/>
      <c r="D86" s="125"/>
    </row>
    <row r="87" spans="2:4" ht="15.6" hidden="1" outlineLevel="1" x14ac:dyDescent="0.35">
      <c r="B87" s="129" t="s">
        <v>50</v>
      </c>
      <c r="C87" s="202" t="e">
        <f>VLOOKUP($C$85,FE_Transportes_1!$C$14:$I$14,2,FALSE)</f>
        <v>#N/A</v>
      </c>
      <c r="D87" s="37" t="s">
        <v>51</v>
      </c>
    </row>
    <row r="88" spans="2:4" ht="15.6" hidden="1" outlineLevel="1" x14ac:dyDescent="0.35">
      <c r="B88" s="129" t="s">
        <v>52</v>
      </c>
      <c r="C88" s="202" t="e">
        <f>VLOOKUP($C$85,FE_Transportes_1!$C$14:$I$14,4,FALSE)</f>
        <v>#N/A</v>
      </c>
      <c r="D88" s="37" t="s">
        <v>51</v>
      </c>
    </row>
    <row r="89" spans="2:4" ht="15.6" hidden="1" outlineLevel="1" x14ac:dyDescent="0.35">
      <c r="B89" s="129" t="s">
        <v>53</v>
      </c>
      <c r="C89" s="202" t="e">
        <f>VLOOKUP($C$85,FE_Transportes_1!$C$14:$I$14,6,FALSE)</f>
        <v>#N/A</v>
      </c>
      <c r="D89" s="37" t="s">
        <v>51</v>
      </c>
    </row>
    <row r="90" spans="2:4" ht="15.6" hidden="1" outlineLevel="1" x14ac:dyDescent="0.35">
      <c r="B90" s="129" t="s">
        <v>35</v>
      </c>
      <c r="C90" s="138">
        <f>IFERROR(((C86*C87)+(C86*C88)+(C86*C89))/1000,0)</f>
        <v>0</v>
      </c>
      <c r="D90" s="37" t="s">
        <v>36</v>
      </c>
    </row>
    <row r="91" spans="2:4" ht="15.6" collapsed="1" x14ac:dyDescent="0.3">
      <c r="B91" s="164" t="s">
        <v>868</v>
      </c>
      <c r="C91" s="165"/>
      <c r="D91" s="125"/>
    </row>
    <row r="92" spans="2:4" x14ac:dyDescent="0.3">
      <c r="B92" s="170" t="s">
        <v>59</v>
      </c>
      <c r="C92" s="171"/>
      <c r="D92" s="125"/>
    </row>
    <row r="93" spans="2:4" x14ac:dyDescent="0.3">
      <c r="B93" s="131" t="s">
        <v>60</v>
      </c>
      <c r="C93" s="152"/>
      <c r="D93" s="125"/>
    </row>
    <row r="94" spans="2:4" x14ac:dyDescent="0.3">
      <c r="B94" s="131" t="s">
        <v>860</v>
      </c>
      <c r="C94" s="153"/>
      <c r="D94" s="125"/>
    </row>
    <row r="95" spans="2:4" hidden="1" outlineLevel="1" x14ac:dyDescent="0.3">
      <c r="B95" s="129" t="s">
        <v>63</v>
      </c>
      <c r="C95" s="139" t="e">
        <f>VLOOKUP(C93,PAG!$F$3:$J$132,5,FALSE)</f>
        <v>#N/A</v>
      </c>
      <c r="D95" s="125" t="s">
        <v>64</v>
      </c>
    </row>
    <row r="96" spans="2:4" hidden="1" outlineLevel="1" x14ac:dyDescent="0.3">
      <c r="B96" s="129" t="s">
        <v>65</v>
      </c>
      <c r="C96" s="139">
        <f>IFERROR(C94*C95/1000,0)</f>
        <v>0</v>
      </c>
      <c r="D96" s="125" t="s">
        <v>66</v>
      </c>
    </row>
    <row r="97" spans="2:4" collapsed="1" x14ac:dyDescent="0.3">
      <c r="B97" s="132" t="s">
        <v>67</v>
      </c>
      <c r="C97" s="152"/>
      <c r="D97" s="125"/>
    </row>
    <row r="98" spans="2:4" x14ac:dyDescent="0.3">
      <c r="B98" s="132" t="s">
        <v>861</v>
      </c>
      <c r="C98" s="153"/>
      <c r="D98" s="125"/>
    </row>
    <row r="99" spans="2:4" hidden="1" outlineLevel="1" x14ac:dyDescent="0.3">
      <c r="B99" s="129" t="s">
        <v>63</v>
      </c>
      <c r="C99" s="139" t="e">
        <f>VLOOKUP(C97,PAG!$F$3:$J$132,5,FALSE)</f>
        <v>#N/A</v>
      </c>
      <c r="D99" s="125" t="s">
        <v>64</v>
      </c>
    </row>
    <row r="100" spans="2:4" hidden="1" outlineLevel="1" x14ac:dyDescent="0.3">
      <c r="B100" s="129" t="s">
        <v>65</v>
      </c>
      <c r="C100" s="139">
        <f>IFERROR(C98*C99/1000,0)</f>
        <v>0</v>
      </c>
      <c r="D100" s="125" t="s">
        <v>66</v>
      </c>
    </row>
    <row r="101" spans="2:4" collapsed="1" x14ac:dyDescent="0.3">
      <c r="B101" s="131" t="s">
        <v>69</v>
      </c>
      <c r="C101" s="152"/>
      <c r="D101" s="125"/>
    </row>
    <row r="102" spans="2:4" x14ac:dyDescent="0.3">
      <c r="B102" s="131" t="s">
        <v>862</v>
      </c>
      <c r="C102" s="153"/>
      <c r="D102" s="125"/>
    </row>
    <row r="103" spans="2:4" hidden="1" outlineLevel="1" x14ac:dyDescent="0.3">
      <c r="B103" s="129" t="s">
        <v>63</v>
      </c>
      <c r="C103" s="139" t="e">
        <f>VLOOKUP(C101,PAG!$F$3:$J$132,5,FALSE)</f>
        <v>#N/A</v>
      </c>
      <c r="D103" s="125" t="s">
        <v>64</v>
      </c>
    </row>
    <row r="104" spans="2:4" hidden="1" outlineLevel="1" x14ac:dyDescent="0.3">
      <c r="B104" s="129" t="s">
        <v>65</v>
      </c>
      <c r="C104" s="139">
        <f>IFERROR(C102*C103/1000,0)</f>
        <v>0</v>
      </c>
      <c r="D104" s="125" t="s">
        <v>66</v>
      </c>
    </row>
    <row r="105" spans="2:4" collapsed="1" x14ac:dyDescent="0.3">
      <c r="D105" s="125"/>
    </row>
    <row r="106" spans="2:4" ht="18" x14ac:dyDescent="0.35">
      <c r="B106" s="162" t="s">
        <v>77</v>
      </c>
      <c r="C106" s="163"/>
      <c r="D106" s="125"/>
    </row>
    <row r="107" spans="2:4" x14ac:dyDescent="0.3">
      <c r="B107" s="128" t="s">
        <v>71</v>
      </c>
      <c r="C107" s="154"/>
      <c r="D107" s="151" t="s">
        <v>837</v>
      </c>
    </row>
    <row r="108" spans="2:4" x14ac:dyDescent="0.3">
      <c r="B108" s="128" t="s">
        <v>858</v>
      </c>
      <c r="C108" s="159"/>
      <c r="D108" s="125" t="s">
        <v>73</v>
      </c>
    </row>
    <row r="109" spans="2:4" hidden="1" outlineLevel="1" x14ac:dyDescent="0.3">
      <c r="B109" s="129" t="s">
        <v>859</v>
      </c>
      <c r="C109" s="137">
        <f>IFERROR(VLOOKUP(C4,FE_EE!B4:E6,2,FALSE),0)</f>
        <v>0</v>
      </c>
      <c r="D109" s="39" t="s">
        <v>73</v>
      </c>
    </row>
    <row r="110" spans="2:4" ht="15.6" hidden="1" outlineLevel="1" x14ac:dyDescent="0.35">
      <c r="B110" s="129" t="s">
        <v>74</v>
      </c>
      <c r="C110" s="138">
        <f>IF($D$107="kWh",($C$107/1000)*$C$108,($C$107*$C$108))</f>
        <v>0</v>
      </c>
      <c r="D110" s="39" t="s">
        <v>66</v>
      </c>
    </row>
    <row r="111" spans="2:4" ht="15.6" hidden="1" outlineLevel="1" x14ac:dyDescent="0.35">
      <c r="B111" s="129" t="s">
        <v>75</v>
      </c>
      <c r="C111" s="138">
        <f>IF($D$107="kWh",($C$107/1000)*$C$109,($C$107*$C$109))</f>
        <v>0</v>
      </c>
      <c r="D111" s="39" t="s">
        <v>66</v>
      </c>
    </row>
    <row r="112" spans="2:4" collapsed="1" x14ac:dyDescent="0.3"/>
    <row r="113" spans="2:3" ht="20.399999999999999" x14ac:dyDescent="0.45">
      <c r="B113" s="166" t="s">
        <v>842</v>
      </c>
      <c r="C113" s="167"/>
    </row>
    <row r="114" spans="2:3" x14ac:dyDescent="0.3">
      <c r="B114" s="130" t="s">
        <v>864</v>
      </c>
      <c r="C114" s="160">
        <f>IFERROR(C14+C18+C22+C26,"")</f>
        <v>0</v>
      </c>
    </row>
    <row r="115" spans="2:3" x14ac:dyDescent="0.3">
      <c r="B115" s="130" t="s">
        <v>869</v>
      </c>
      <c r="C115" s="160">
        <f>IFERROR(C32+C36+C40+C44,"")</f>
        <v>0</v>
      </c>
    </row>
    <row r="116" spans="2:3" x14ac:dyDescent="0.3">
      <c r="B116" s="130" t="s">
        <v>870</v>
      </c>
      <c r="C116" s="160">
        <f>IFERROR(C52+C58+C64+C70+C77+C83+C90,"")</f>
        <v>0</v>
      </c>
    </row>
    <row r="117" spans="2:3" x14ac:dyDescent="0.3">
      <c r="B117" s="130" t="s">
        <v>868</v>
      </c>
      <c r="C117" s="160">
        <f>IFERROR(C96+C100+C104,"")</f>
        <v>0</v>
      </c>
    </row>
    <row r="119" spans="2:3" ht="20.399999999999999" x14ac:dyDescent="0.45">
      <c r="B119" s="166" t="s">
        <v>843</v>
      </c>
      <c r="C119" s="167"/>
    </row>
    <row r="120" spans="2:3" x14ac:dyDescent="0.3">
      <c r="B120" s="130" t="s">
        <v>78</v>
      </c>
      <c r="C120" s="161">
        <f>IF(C107="",0,C110)</f>
        <v>0</v>
      </c>
    </row>
    <row r="121" spans="2:3" x14ac:dyDescent="0.3">
      <c r="B121" s="130" t="s">
        <v>79</v>
      </c>
      <c r="C121" s="161">
        <f>IFERROR(C111,"")</f>
        <v>0</v>
      </c>
    </row>
    <row r="123" spans="2:3" ht="20.399999999999999" x14ac:dyDescent="0.45">
      <c r="B123" s="166" t="s">
        <v>844</v>
      </c>
      <c r="C123" s="167"/>
    </row>
    <row r="124" spans="2:3" x14ac:dyDescent="0.3">
      <c r="B124" s="130" t="s">
        <v>840</v>
      </c>
      <c r="C124" s="160">
        <f>IFERROR(C114+C115+C116+C117+C120,"")</f>
        <v>0</v>
      </c>
    </row>
    <row r="125" spans="2:3" x14ac:dyDescent="0.3">
      <c r="B125" s="130" t="s">
        <v>841</v>
      </c>
      <c r="C125" s="160">
        <f>IFERROR(C114+C115+C116+C117+C121,"")</f>
        <v>0</v>
      </c>
    </row>
    <row r="130" spans="2:3" x14ac:dyDescent="0.3">
      <c r="B130" t="s">
        <v>76</v>
      </c>
      <c r="C130" s="121">
        <f>SUM(C114:C117)</f>
        <v>0</v>
      </c>
    </row>
    <row r="131" spans="2:3" x14ac:dyDescent="0.3">
      <c r="B131" t="s">
        <v>876</v>
      </c>
      <c r="C131" s="122">
        <f>C120</f>
        <v>0</v>
      </c>
    </row>
    <row r="132" spans="2:3" x14ac:dyDescent="0.3">
      <c r="B132" t="s">
        <v>80</v>
      </c>
      <c r="C132" s="150">
        <f>C130+C131</f>
        <v>0</v>
      </c>
    </row>
    <row r="134" spans="2:3" x14ac:dyDescent="0.3">
      <c r="B134" t="s">
        <v>76</v>
      </c>
      <c r="C134" s="121">
        <f>SUM(C114:C117)</f>
        <v>0</v>
      </c>
    </row>
    <row r="135" spans="2:3" x14ac:dyDescent="0.3">
      <c r="B135" t="s">
        <v>877</v>
      </c>
      <c r="C135" s="122">
        <f>C121</f>
        <v>0</v>
      </c>
    </row>
    <row r="136" spans="2:3" x14ac:dyDescent="0.3">
      <c r="B136" t="s">
        <v>80</v>
      </c>
      <c r="C136" s="150">
        <f>C134+C135</f>
        <v>0</v>
      </c>
    </row>
  </sheetData>
  <sheetProtection algorithmName="SHA-512" hashValue="nJ2URBUC7/jD68V9NfDstTbaQ6jNHrb/BPA1URx2XvaBcjYKSGkihWGT7ejiXpAqHZ1peQxKwguEoyFqc/EY7Q==" saltValue="Y03dbzvBvZ718y9eSveIbg==" spinCount="100000" sheet="1" objects="1" scenarios="1"/>
  <dataConsolidate/>
  <mergeCells count="15">
    <mergeCell ref="B119:C119"/>
    <mergeCell ref="B123:C123"/>
    <mergeCell ref="B106:C106"/>
    <mergeCell ref="B28:C28"/>
    <mergeCell ref="B45:C45"/>
    <mergeCell ref="B46:C46"/>
    <mergeCell ref="B71:C71"/>
    <mergeCell ref="B84:C84"/>
    <mergeCell ref="B92:C92"/>
    <mergeCell ref="B113:C113"/>
    <mergeCell ref="B9:C9"/>
    <mergeCell ref="B2:C2"/>
    <mergeCell ref="B91:C91"/>
    <mergeCell ref="B27:C27"/>
    <mergeCell ref="B10:C10"/>
  </mergeCells>
  <phoneticPr fontId="30" type="noConversion"/>
  <dataValidations count="3">
    <dataValidation allowBlank="1" showInputMessage="1" showErrorMessage="1" prompt="Introduza valor" sqref="C12" xr:uid="{FE887CDC-210C-46FC-9DBD-08F9917B7BC2}"/>
    <dataValidation allowBlank="1" showInputMessage="1" showErrorMessage="1" promptTitle="Introduza valor" prompt="Introduza valor" sqref="C16" xr:uid="{8B535A70-CE0A-4456-B541-308A559F8CAB}"/>
    <dataValidation allowBlank="1" showInputMessage="1" showErrorMessage="1" prompt="Introduza Valor" sqref="C20 C24 C30 C34 C38 C42 C48 C73 C86 C94 C98 C102 C107 C54 C60 C66 C79" xr:uid="{6D714B95-C160-4828-A3A8-61892D750DB6}"/>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64CEF404-24D2-470F-90AF-ED8099DA03F1}">
          <x14:formula1>
            <xm:f>Unidades!$C$4:$C$5</xm:f>
          </x14:formula1>
          <xm:sqref>D107</xm:sqref>
        </x14:dataValidation>
        <x14:dataValidation type="list" allowBlank="1" showInputMessage="1" showErrorMessage="1" prompt="Selecione Opção" xr:uid="{E78C1F56-1CB1-476E-A10F-8DB148F642BD}">
          <x14:formula1>
            <xm:f>FE_Combustíveis!$B$5:$B$49</xm:f>
          </x14:formula1>
          <xm:sqref>C23 C11 C15 C19</xm:sqref>
        </x14:dataValidation>
        <x14:dataValidation type="list" allowBlank="1" showInputMessage="1" showErrorMessage="1" xr:uid="{1A1C443C-CF99-4B51-84D0-4981A1E75C91}">
          <x14:formula1>
            <xm:f>Unidades!$B$3:$B$8</xm:f>
          </x14:formula1>
          <xm:sqref>G14 G90 G77:G83 G52 G44 G40 G36 G32 G26 G22 G18</xm:sqref>
        </x14:dataValidation>
        <x14:dataValidation type="list" allowBlank="1" showInputMessage="1" showErrorMessage="1" prompt="Selecione Opção" xr:uid="{79E58B84-FD33-41B0-A6EE-B71AE751A03C}">
          <x14:formula1>
            <xm:f>FE_Transportes!$B$5:$B$10</xm:f>
          </x14:formula1>
          <xm:sqref>C41 C29 C33 C37</xm:sqref>
        </x14:dataValidation>
        <x14:dataValidation type="list" allowBlank="1" showInputMessage="1" showErrorMessage="1" prompt="Selecione Opção" xr:uid="{A691E582-5478-44B4-9D17-71997430A9AA}">
          <x14:formula1>
            <xm:f>Unidades!$A$3:$A$5</xm:f>
          </x14:formula1>
          <xm:sqref>C4</xm:sqref>
        </x14:dataValidation>
        <x14:dataValidation type="list" allowBlank="1" showInputMessage="1" showErrorMessage="1" prompt="Selecione Opção" xr:uid="{1A1DD2AC-E8BD-4F8F-94AD-D1928AB33D90}">
          <x14:formula1>
            <xm:f>PAG!$F$3:$F$132</xm:f>
          </x14:formula1>
          <xm:sqref>C101 C93 C97</xm:sqref>
        </x14:dataValidation>
        <x14:dataValidation type="list" allowBlank="1" showInputMessage="1" showErrorMessage="1" prompt="Selecione Opção" xr:uid="{9EBCE38E-6662-4B20-BE0B-05BFAE8E5CFA}">
          <x14:formula1>
            <xm:f>Unidades!$E$3:$E$6</xm:f>
          </x14:formula1>
          <xm:sqref>C47 C53 C59 C65</xm:sqref>
        </x14:dataValidation>
        <x14:dataValidation type="list" allowBlank="1" showInputMessage="1" showErrorMessage="1" prompt="Selecione Opção" xr:uid="{B92AB11F-4BEC-43A1-B0CA-0E67EE33D4A5}">
          <x14:formula1>
            <xm:f>FE_Transportes_1!$C$12:$C$13</xm:f>
          </x14:formula1>
          <xm:sqref>C72 C78</xm:sqref>
        </x14:dataValidation>
        <x14:dataValidation type="list" allowBlank="1" showInputMessage="1" showErrorMessage="1" prompt="Selecione Opção" xr:uid="{71540C3F-82BA-41FE-BE48-AAE90249C482}">
          <x14:formula1>
            <xm:f>FE_Transportes_1!$C$14</xm:f>
          </x14:formula1>
          <xm:sqref>C85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8F7E5-6B31-444F-91CE-B0DD4D58A3C8}">
  <sheetPr>
    <tabColor rgb="FFFFC000"/>
  </sheetPr>
  <dimension ref="B2:R49"/>
  <sheetViews>
    <sheetView showGridLines="0" zoomScale="80" zoomScaleNormal="80" workbookViewId="0">
      <selection activeCell="H21" sqref="H21"/>
    </sheetView>
  </sheetViews>
  <sheetFormatPr defaultRowHeight="14.4" x14ac:dyDescent="0.3"/>
  <cols>
    <col min="1" max="1" width="3.6640625" customWidth="1"/>
    <col min="2" max="2" width="25" customWidth="1"/>
    <col min="3" max="3" width="11.88671875" customWidth="1"/>
    <col min="4" max="4" width="12.109375" customWidth="1"/>
    <col min="5" max="5" width="51.6640625" customWidth="1"/>
    <col min="6" max="6" width="11.88671875" customWidth="1"/>
    <col min="7" max="7" width="35.6640625" customWidth="1"/>
    <col min="8" max="8" width="15.33203125" customWidth="1"/>
    <col min="9" max="9" width="12.6640625" customWidth="1"/>
    <col min="10" max="10" width="12" customWidth="1"/>
    <col min="11" max="11" width="12.6640625" customWidth="1"/>
    <col min="12" max="12" width="14.33203125" customWidth="1"/>
    <col min="13" max="13" width="9" bestFit="1" customWidth="1"/>
    <col min="14" max="14" width="14.44140625" customWidth="1"/>
    <col min="15" max="15" width="14.6640625" customWidth="1"/>
    <col min="16" max="16" width="15.44140625" customWidth="1"/>
    <col min="17" max="17" width="20.109375" customWidth="1"/>
    <col min="18" max="18" width="132.6640625" customWidth="1"/>
  </cols>
  <sheetData>
    <row r="2" spans="2:18" x14ac:dyDescent="0.3">
      <c r="B2" s="172" t="s">
        <v>81</v>
      </c>
      <c r="C2" s="175" t="s">
        <v>82</v>
      </c>
      <c r="D2" s="178" t="s">
        <v>83</v>
      </c>
      <c r="E2" s="179"/>
      <c r="F2" s="178" t="s">
        <v>84</v>
      </c>
      <c r="G2" s="179"/>
      <c r="H2" s="172" t="s">
        <v>84</v>
      </c>
      <c r="I2" s="182" t="s">
        <v>85</v>
      </c>
      <c r="J2" s="183"/>
      <c r="K2" s="183"/>
      <c r="L2" s="183"/>
      <c r="M2" s="183"/>
      <c r="N2" s="183"/>
      <c r="O2" s="183"/>
      <c r="P2" s="184"/>
      <c r="Q2" s="172" t="s">
        <v>86</v>
      </c>
      <c r="R2" s="178" t="s">
        <v>87</v>
      </c>
    </row>
    <row r="3" spans="2:18" ht="15" x14ac:dyDescent="0.3">
      <c r="B3" s="173"/>
      <c r="C3" s="176"/>
      <c r="D3" s="180"/>
      <c r="E3" s="181"/>
      <c r="F3" s="180"/>
      <c r="G3" s="181"/>
      <c r="H3" s="174"/>
      <c r="I3" s="182" t="s">
        <v>88</v>
      </c>
      <c r="J3" s="183"/>
      <c r="K3" s="183"/>
      <c r="L3" s="184"/>
      <c r="M3" s="182" t="s">
        <v>89</v>
      </c>
      <c r="N3" s="183"/>
      <c r="O3" s="183"/>
      <c r="P3" s="184"/>
      <c r="Q3" s="173"/>
      <c r="R3" s="185"/>
    </row>
    <row r="4" spans="2:18" ht="51" customHeight="1" x14ac:dyDescent="0.3">
      <c r="B4" s="174"/>
      <c r="C4" s="177"/>
      <c r="D4" s="24" t="s">
        <v>90</v>
      </c>
      <c r="E4" s="24" t="s">
        <v>91</v>
      </c>
      <c r="F4" s="24" t="s">
        <v>92</v>
      </c>
      <c r="G4" s="24" t="s">
        <v>91</v>
      </c>
      <c r="H4" s="23" t="s">
        <v>93</v>
      </c>
      <c r="I4" s="25" t="s">
        <v>94</v>
      </c>
      <c r="J4" s="25" t="s">
        <v>95</v>
      </c>
      <c r="K4" s="25" t="s">
        <v>96</v>
      </c>
      <c r="L4" s="25" t="s">
        <v>97</v>
      </c>
      <c r="M4" s="25" t="s">
        <v>94</v>
      </c>
      <c r="N4" s="25" t="s">
        <v>95</v>
      </c>
      <c r="O4" s="25" t="s">
        <v>96</v>
      </c>
      <c r="P4" s="25" t="s">
        <v>97</v>
      </c>
      <c r="Q4" s="174"/>
      <c r="R4" s="180"/>
    </row>
    <row r="5" spans="2:18" ht="27.6" x14ac:dyDescent="0.3">
      <c r="B5" s="3" t="s">
        <v>98</v>
      </c>
      <c r="C5" s="4" t="s">
        <v>99</v>
      </c>
      <c r="D5" s="5">
        <f>26.7*1000</f>
        <v>26700</v>
      </c>
      <c r="E5" s="6" t="s">
        <v>100</v>
      </c>
      <c r="F5" s="7">
        <v>98200</v>
      </c>
      <c r="G5" s="6" t="s">
        <v>100</v>
      </c>
      <c r="H5" s="16">
        <f>F5*D5/1000000</f>
        <v>2621.94</v>
      </c>
      <c r="I5" s="8">
        <v>2.6699999999999998E-5</v>
      </c>
      <c r="J5" s="8">
        <v>2.6699999999999998E-4</v>
      </c>
      <c r="K5" s="8">
        <v>2.6699999999999998E-4</v>
      </c>
      <c r="L5" s="8">
        <v>8.0099999999999998E-3</v>
      </c>
      <c r="M5" s="8">
        <v>4.0049999999999998E-5</v>
      </c>
      <c r="N5" s="8">
        <v>4.0049999999999998E-5</v>
      </c>
      <c r="O5" s="8">
        <v>4.0049999999999998E-5</v>
      </c>
      <c r="P5" s="9">
        <v>4.0049999999999998E-5</v>
      </c>
      <c r="Q5" s="5"/>
      <c r="R5" s="10" t="s">
        <v>101</v>
      </c>
    </row>
    <row r="6" spans="2:18" x14ac:dyDescent="0.3">
      <c r="B6" s="11" t="s">
        <v>102</v>
      </c>
      <c r="C6" s="4" t="s">
        <v>99</v>
      </c>
      <c r="D6" s="12">
        <f>40.2*1000</f>
        <v>40200</v>
      </c>
      <c r="E6" s="6" t="s">
        <v>100</v>
      </c>
      <c r="F6" s="7">
        <v>806000</v>
      </c>
      <c r="G6" s="6" t="s">
        <v>100</v>
      </c>
      <c r="H6" s="16">
        <f t="shared" ref="H6:H49" si="0">F6*D6/1000000</f>
        <v>32401.200000000001</v>
      </c>
      <c r="I6" s="8">
        <v>2.8E-5</v>
      </c>
      <c r="J6" s="8">
        <v>2.7999999999999998E-4</v>
      </c>
      <c r="K6" s="8">
        <v>2.7999999999999998E-4</v>
      </c>
      <c r="L6" s="8">
        <v>8.3999999999999995E-3</v>
      </c>
      <c r="M6" s="8">
        <v>4.1999999999999998E-5</v>
      </c>
      <c r="N6" s="8">
        <v>4.1999999999999998E-5</v>
      </c>
      <c r="O6" s="8">
        <v>4.1999999999999998E-5</v>
      </c>
      <c r="P6" s="9">
        <v>4.1999999999999998E-5</v>
      </c>
      <c r="Q6" s="5"/>
      <c r="R6" s="13" t="s">
        <v>103</v>
      </c>
    </row>
    <row r="7" spans="2:18" x14ac:dyDescent="0.3">
      <c r="B7" s="11" t="s">
        <v>104</v>
      </c>
      <c r="C7" s="4" t="s">
        <v>99</v>
      </c>
      <c r="D7" s="12">
        <f>40.2*1000</f>
        <v>40200</v>
      </c>
      <c r="E7" s="6" t="s">
        <v>100</v>
      </c>
      <c r="F7" s="7">
        <v>806000</v>
      </c>
      <c r="G7" s="6" t="s">
        <v>100</v>
      </c>
      <c r="H7" s="16">
        <f t="shared" si="0"/>
        <v>32401.200000000001</v>
      </c>
      <c r="I7" s="8">
        <v>1.206E-4</v>
      </c>
      <c r="J7" s="8">
        <v>1.206E-4</v>
      </c>
      <c r="K7" s="8">
        <v>4.0199999999999996E-4</v>
      </c>
      <c r="L7" s="8">
        <v>4.0199999999999996E-4</v>
      </c>
      <c r="M7" s="8">
        <v>2.4119999999999999E-5</v>
      </c>
      <c r="N7" s="8">
        <v>2.4119999999999999E-5</v>
      </c>
      <c r="O7" s="8">
        <v>2.4119999999999999E-5</v>
      </c>
      <c r="P7" s="9">
        <v>2.4119999999999999E-5</v>
      </c>
      <c r="Q7" s="5"/>
      <c r="R7" s="13" t="s">
        <v>103</v>
      </c>
    </row>
    <row r="8" spans="2:18" ht="27.6" x14ac:dyDescent="0.3">
      <c r="B8" s="14" t="s">
        <v>105</v>
      </c>
      <c r="C8" s="4" t="s">
        <v>99</v>
      </c>
      <c r="D8" s="12">
        <f>20*1000</f>
        <v>20000</v>
      </c>
      <c r="E8" s="6" t="s">
        <v>100</v>
      </c>
      <c r="F8" s="7">
        <v>101100</v>
      </c>
      <c r="G8" s="6" t="s">
        <v>100</v>
      </c>
      <c r="H8" s="16">
        <f t="shared" si="0"/>
        <v>2022</v>
      </c>
      <c r="I8" s="8">
        <v>2.0699999999999998E-5</v>
      </c>
      <c r="J8" s="8">
        <v>2.0699999999999999E-4</v>
      </c>
      <c r="K8" s="8">
        <v>2.0699999999999999E-4</v>
      </c>
      <c r="L8" s="8">
        <v>6.2099999999999994E-3</v>
      </c>
      <c r="M8" s="8">
        <v>3.1049999999999996E-5</v>
      </c>
      <c r="N8" s="8">
        <v>3.1049999999999996E-5</v>
      </c>
      <c r="O8" s="8">
        <v>3.1049999999999996E-5</v>
      </c>
      <c r="P8" s="9">
        <v>3.1049999999999996E-5</v>
      </c>
      <c r="Q8" s="5"/>
      <c r="R8" s="11" t="s">
        <v>106</v>
      </c>
    </row>
    <row r="9" spans="2:18" x14ac:dyDescent="0.3">
      <c r="B9" s="11" t="s">
        <v>107</v>
      </c>
      <c r="C9" s="4" t="s">
        <v>99</v>
      </c>
      <c r="D9" s="12">
        <f>40.2*1000</f>
        <v>40200</v>
      </c>
      <c r="E9" s="6" t="s">
        <v>108</v>
      </c>
      <c r="F9" s="7">
        <v>73300</v>
      </c>
      <c r="G9" s="6" t="s">
        <v>109</v>
      </c>
      <c r="H9" s="16">
        <f t="shared" si="0"/>
        <v>2946.66</v>
      </c>
      <c r="I9" s="8">
        <v>1.206E-4</v>
      </c>
      <c r="J9" s="8">
        <v>1.206E-4</v>
      </c>
      <c r="K9" s="8">
        <v>4.0199999999999996E-4</v>
      </c>
      <c r="L9" s="8">
        <v>4.0199999999999996E-4</v>
      </c>
      <c r="M9" s="8">
        <v>2.4119999999999999E-5</v>
      </c>
      <c r="N9" s="8">
        <v>2.4119999999999999E-5</v>
      </c>
      <c r="O9" s="8">
        <v>2.4119999999999999E-5</v>
      </c>
      <c r="P9" s="9">
        <v>2.4119999999999999E-5</v>
      </c>
      <c r="Q9" s="5"/>
      <c r="R9" s="13" t="s">
        <v>103</v>
      </c>
    </row>
    <row r="10" spans="2:18" ht="27.6" x14ac:dyDescent="0.3">
      <c r="B10" s="11" t="s">
        <v>110</v>
      </c>
      <c r="C10" s="4" t="s">
        <v>62</v>
      </c>
      <c r="D10" s="12">
        <v>28.2</v>
      </c>
      <c r="E10" s="6" t="s">
        <v>100</v>
      </c>
      <c r="F10" s="7">
        <v>9450</v>
      </c>
      <c r="G10" s="6" t="s">
        <v>100</v>
      </c>
      <c r="H10" s="16">
        <f t="shared" si="0"/>
        <v>0.26649</v>
      </c>
      <c r="I10" s="8">
        <v>2.8199999999999998E-5</v>
      </c>
      <c r="J10" s="8">
        <v>2.8199999999999997E-4</v>
      </c>
      <c r="K10" s="8">
        <v>2.8199999999999997E-4</v>
      </c>
      <c r="L10" s="8">
        <v>8.4599999999999988E-3</v>
      </c>
      <c r="M10" s="8">
        <v>4.2299999999999998E-5</v>
      </c>
      <c r="N10" s="8">
        <v>4.2299999999999998E-5</v>
      </c>
      <c r="O10" s="8">
        <v>4.2299999999999998E-5</v>
      </c>
      <c r="P10" s="9">
        <v>4.2299999999999998E-5</v>
      </c>
      <c r="Q10" s="5"/>
      <c r="R10" s="11" t="s">
        <v>111</v>
      </c>
    </row>
    <row r="11" spans="2:18" ht="69" x14ac:dyDescent="0.3">
      <c r="B11" s="11" t="s">
        <v>112</v>
      </c>
      <c r="C11" s="4" t="s">
        <v>62</v>
      </c>
      <c r="D11" s="12">
        <v>28.35</v>
      </c>
      <c r="E11" s="6" t="s">
        <v>100</v>
      </c>
      <c r="F11" s="7">
        <v>107000</v>
      </c>
      <c r="G11" s="6" t="s">
        <v>100</v>
      </c>
      <c r="H11" s="16">
        <f t="shared" si="0"/>
        <v>3.0334500000000002</v>
      </c>
      <c r="I11" s="8">
        <v>2.8199999999999998E-5</v>
      </c>
      <c r="J11" s="8">
        <v>2.8199999999999997E-4</v>
      </c>
      <c r="K11" s="8">
        <v>2.8199999999999997E-4</v>
      </c>
      <c r="L11" s="8">
        <v>8.4599999999999988E-3</v>
      </c>
      <c r="M11" s="8">
        <v>4.2299999999999998E-5</v>
      </c>
      <c r="N11" s="8">
        <v>4.2299999999999998E-5</v>
      </c>
      <c r="O11" s="8">
        <v>4.2299999999999998E-5</v>
      </c>
      <c r="P11" s="9">
        <v>4.2299999999999998E-5</v>
      </c>
      <c r="Q11" s="5"/>
      <c r="R11" s="11" t="s">
        <v>113</v>
      </c>
    </row>
    <row r="12" spans="2:18" x14ac:dyDescent="0.3">
      <c r="B12" s="11" t="s">
        <v>114</v>
      </c>
      <c r="C12" s="4" t="s">
        <v>62</v>
      </c>
      <c r="D12" s="12">
        <v>31.75</v>
      </c>
      <c r="E12" s="6" t="s">
        <v>100</v>
      </c>
      <c r="F12" s="7">
        <v>97500</v>
      </c>
      <c r="G12" s="6" t="s">
        <v>100</v>
      </c>
      <c r="H12" s="16">
        <f t="shared" si="0"/>
        <v>3.0956250000000001</v>
      </c>
      <c r="I12" s="8">
        <v>9.7499999999999998E-5</v>
      </c>
      <c r="J12" s="8">
        <v>9.7499999999999998E-5</v>
      </c>
      <c r="K12" s="8">
        <v>3.2499999999999999E-4</v>
      </c>
      <c r="L12" s="8">
        <v>3.2499999999999999E-4</v>
      </c>
      <c r="M12" s="8">
        <v>1.95E-5</v>
      </c>
      <c r="N12" s="8">
        <v>1.95E-5</v>
      </c>
      <c r="O12" s="8">
        <v>1.95E-5</v>
      </c>
      <c r="P12" s="9">
        <v>1.95E-5</v>
      </c>
      <c r="Q12" s="5"/>
      <c r="R12" s="13" t="s">
        <v>103</v>
      </c>
    </row>
    <row r="13" spans="2:18" ht="15" x14ac:dyDescent="0.3">
      <c r="B13" s="11" t="s">
        <v>115</v>
      </c>
      <c r="C13" s="4" t="s">
        <v>62</v>
      </c>
      <c r="D13" s="12">
        <f>46.4</f>
        <v>46.4</v>
      </c>
      <c r="E13" s="6" t="s">
        <v>108</v>
      </c>
      <c r="F13" s="7">
        <v>61600</v>
      </c>
      <c r="G13" s="6" t="s">
        <v>109</v>
      </c>
      <c r="H13" s="16">
        <f t="shared" si="0"/>
        <v>2.8582399999999999</v>
      </c>
      <c r="I13" s="8">
        <v>6.032E-8</v>
      </c>
      <c r="J13" s="8">
        <v>6.032E-8</v>
      </c>
      <c r="K13" s="8">
        <v>3.016E-7</v>
      </c>
      <c r="L13" s="8">
        <v>3.016E-7</v>
      </c>
      <c r="M13" s="8">
        <v>6.0319999999999998E-9</v>
      </c>
      <c r="N13" s="8">
        <v>6.0319999999999998E-9</v>
      </c>
      <c r="O13" s="8">
        <v>6.0319999999999998E-9</v>
      </c>
      <c r="P13" s="9">
        <v>6.0319999999999998E-9</v>
      </c>
      <c r="Q13" s="5"/>
      <c r="R13" s="11" t="s">
        <v>116</v>
      </c>
    </row>
    <row r="14" spans="2:18" ht="41.4" x14ac:dyDescent="0.3">
      <c r="B14" s="11" t="s">
        <v>117</v>
      </c>
      <c r="C14" s="4" t="s">
        <v>118</v>
      </c>
      <c r="D14" s="12">
        <f>40.2*944/1000</f>
        <v>37.948800000000006</v>
      </c>
      <c r="E14" s="6" t="s">
        <v>119</v>
      </c>
      <c r="F14" s="7">
        <v>77300</v>
      </c>
      <c r="G14" s="6" t="s">
        <v>109</v>
      </c>
      <c r="H14" s="16">
        <f t="shared" si="0"/>
        <v>2.9334422400000002</v>
      </c>
      <c r="I14" s="8">
        <v>1.13928E-7</v>
      </c>
      <c r="J14" s="8">
        <v>1.13928E-7</v>
      </c>
      <c r="K14" s="8">
        <v>3.7976000000000001E-7</v>
      </c>
      <c r="L14" s="8">
        <v>3.7976000000000001E-7</v>
      </c>
      <c r="M14" s="8">
        <v>2.2785599999999995E-8</v>
      </c>
      <c r="N14" s="8">
        <v>2.2785599999999995E-8</v>
      </c>
      <c r="O14" s="8">
        <v>2.2785599999999995E-8</v>
      </c>
      <c r="P14" s="9">
        <v>2.2785599999999995E-8</v>
      </c>
      <c r="Q14" s="5">
        <v>2.2411459459459466E-6</v>
      </c>
      <c r="R14" s="13" t="s">
        <v>103</v>
      </c>
    </row>
    <row r="15" spans="2:18" x14ac:dyDescent="0.3">
      <c r="B15" s="11" t="s">
        <v>120</v>
      </c>
      <c r="C15" s="4" t="s">
        <v>62</v>
      </c>
      <c r="D15" s="12">
        <v>2.5</v>
      </c>
      <c r="E15" s="6" t="s">
        <v>100</v>
      </c>
      <c r="F15" s="7">
        <v>259399.99999999997</v>
      </c>
      <c r="G15" s="6" t="s">
        <v>109</v>
      </c>
      <c r="H15" s="16">
        <f t="shared" si="0"/>
        <v>0.64849999999999985</v>
      </c>
      <c r="I15" s="8">
        <v>2.4700000000000001E-6</v>
      </c>
      <c r="J15" s="8">
        <v>2.4700000000000001E-6</v>
      </c>
      <c r="K15" s="8">
        <v>1.235E-5</v>
      </c>
      <c r="L15" s="8">
        <v>1.235E-5</v>
      </c>
      <c r="M15" s="8">
        <v>2.4700000000000003E-7</v>
      </c>
      <c r="N15" s="8">
        <v>2.4700000000000003E-7</v>
      </c>
      <c r="O15" s="8">
        <v>2.4700000000000003E-7</v>
      </c>
      <c r="P15" s="9">
        <v>2.4700000000000003E-7</v>
      </c>
      <c r="Q15" s="5"/>
      <c r="R15" s="11" t="s">
        <v>121</v>
      </c>
    </row>
    <row r="16" spans="2:18" x14ac:dyDescent="0.3">
      <c r="B16" s="11" t="s">
        <v>122</v>
      </c>
      <c r="C16" s="4" t="s">
        <v>62</v>
      </c>
      <c r="D16" s="12">
        <v>38.700000000000003</v>
      </c>
      <c r="E16" s="6" t="s">
        <v>100</v>
      </c>
      <c r="F16" s="7">
        <v>44700</v>
      </c>
      <c r="G16" s="6" t="s">
        <v>100</v>
      </c>
      <c r="H16" s="16">
        <f t="shared" si="0"/>
        <v>1.7298900000000001</v>
      </c>
      <c r="I16" s="8">
        <v>2.8199999999999998E-5</v>
      </c>
      <c r="J16" s="8">
        <v>2.8199999999999998E-5</v>
      </c>
      <c r="K16" s="8">
        <v>1.4099999999999998E-4</v>
      </c>
      <c r="L16" s="8">
        <v>1.4099999999999998E-4</v>
      </c>
      <c r="M16" s="8">
        <v>2.8200000000000001E-6</v>
      </c>
      <c r="N16" s="8">
        <v>2.8200000000000001E-6</v>
      </c>
      <c r="O16" s="8">
        <v>2.8200000000000001E-6</v>
      </c>
      <c r="P16" s="9">
        <v>2.8200000000000001E-6</v>
      </c>
      <c r="Q16" s="5"/>
      <c r="R16" s="11" t="s">
        <v>123</v>
      </c>
    </row>
    <row r="17" spans="2:18" ht="110.4" x14ac:dyDescent="0.3">
      <c r="B17" s="11" t="s">
        <v>124</v>
      </c>
      <c r="C17" s="4" t="s">
        <v>62</v>
      </c>
      <c r="D17" s="12">
        <v>38.700000000000003</v>
      </c>
      <c r="E17" s="6" t="s">
        <v>100</v>
      </c>
      <c r="F17" s="7">
        <v>44700</v>
      </c>
      <c r="G17" s="6" t="s">
        <v>100</v>
      </c>
      <c r="H17" s="16">
        <f t="shared" si="0"/>
        <v>1.7298900000000001</v>
      </c>
      <c r="I17" s="8">
        <v>3.8699999999999999E-5</v>
      </c>
      <c r="J17" s="8">
        <v>3.8699999999999999E-5</v>
      </c>
      <c r="K17" s="8">
        <v>1.9349999999999999E-4</v>
      </c>
      <c r="L17" s="8">
        <v>1.9349999999999999E-4</v>
      </c>
      <c r="M17" s="8">
        <v>3.8700000000000002E-6</v>
      </c>
      <c r="N17" s="8">
        <v>3.8700000000000002E-6</v>
      </c>
      <c r="O17" s="8">
        <v>3.8700000000000002E-6</v>
      </c>
      <c r="P17" s="9">
        <v>3.8700000000000002E-6</v>
      </c>
      <c r="Q17" s="5"/>
      <c r="R17" s="11" t="s">
        <v>125</v>
      </c>
    </row>
    <row r="18" spans="2:18" ht="27.6" x14ac:dyDescent="0.3">
      <c r="B18" s="11" t="s">
        <v>126</v>
      </c>
      <c r="C18" s="4" t="s">
        <v>62</v>
      </c>
      <c r="D18" s="12">
        <v>7.1</v>
      </c>
      <c r="E18" s="6" t="s">
        <v>100</v>
      </c>
      <c r="F18" s="7">
        <v>171800</v>
      </c>
      <c r="G18" s="6" t="s">
        <v>100</v>
      </c>
      <c r="H18" s="16">
        <f t="shared" si="0"/>
        <v>1.2197800000000001</v>
      </c>
      <c r="I18" s="8">
        <v>7.0599999999999993E-6</v>
      </c>
      <c r="J18" s="8">
        <v>7.0599999999999993E-6</v>
      </c>
      <c r="K18" s="8">
        <v>3.5299999999999997E-5</v>
      </c>
      <c r="L18" s="8">
        <v>3.5299999999999997E-5</v>
      </c>
      <c r="M18" s="8">
        <v>7.0599999999999989E-7</v>
      </c>
      <c r="N18" s="8">
        <v>7.0599999999999989E-7</v>
      </c>
      <c r="O18" s="8">
        <v>7.0599999999999989E-7</v>
      </c>
      <c r="P18" s="9">
        <v>7.0599999999999989E-7</v>
      </c>
      <c r="Q18" s="5"/>
      <c r="R18" s="13" t="s">
        <v>103</v>
      </c>
    </row>
    <row r="19" spans="2:18" ht="42.6" x14ac:dyDescent="0.3">
      <c r="B19" s="11" t="s">
        <v>42</v>
      </c>
      <c r="C19" s="4" t="s">
        <v>118</v>
      </c>
      <c r="D19" s="12">
        <f>46.65*(0.502)</f>
        <v>23.418299999999999</v>
      </c>
      <c r="E19" s="6" t="s">
        <v>127</v>
      </c>
      <c r="F19" s="7">
        <v>63000</v>
      </c>
      <c r="G19" s="6" t="s">
        <v>100</v>
      </c>
      <c r="H19" s="21">
        <f t="shared" si="0"/>
        <v>1.4753528999999999</v>
      </c>
      <c r="I19" s="8">
        <v>2.5542000000000001E-8</v>
      </c>
      <c r="J19" s="8">
        <v>2.5542000000000001E-8</v>
      </c>
      <c r="K19" s="8">
        <v>1.2771000000000002E-7</v>
      </c>
      <c r="L19" s="8">
        <v>1.2771000000000002E-7</v>
      </c>
      <c r="M19" s="8">
        <v>2.5541999999999997E-9</v>
      </c>
      <c r="N19" s="8">
        <v>2.5541999999999997E-9</v>
      </c>
      <c r="O19" s="8">
        <v>2.5541999999999997E-9</v>
      </c>
      <c r="P19" s="9">
        <v>2.5541999999999997E-9</v>
      </c>
      <c r="Q19" s="5">
        <v>2.2411459459459466E-6</v>
      </c>
      <c r="R19" s="11" t="s">
        <v>128</v>
      </c>
    </row>
    <row r="20" spans="2:18" ht="27.6" x14ac:dyDescent="0.3">
      <c r="B20" s="11" t="s">
        <v>129</v>
      </c>
      <c r="C20" s="4" t="s">
        <v>62</v>
      </c>
      <c r="D20" s="8">
        <v>49.5</v>
      </c>
      <c r="E20" s="6" t="s">
        <v>109</v>
      </c>
      <c r="F20" s="7">
        <v>51300</v>
      </c>
      <c r="G20" s="6" t="s">
        <v>100</v>
      </c>
      <c r="H20" s="16">
        <f t="shared" si="0"/>
        <v>2.5393500000000002</v>
      </c>
      <c r="I20" s="8">
        <v>4.9499999999999997E-5</v>
      </c>
      <c r="J20" s="8">
        <v>4.9499999999999997E-5</v>
      </c>
      <c r="K20" s="8">
        <v>2.475E-4</v>
      </c>
      <c r="L20" s="8">
        <v>2.475E-4</v>
      </c>
      <c r="M20" s="8">
        <v>4.95E-6</v>
      </c>
      <c r="N20" s="8">
        <v>4.95E-6</v>
      </c>
      <c r="O20" s="8">
        <v>4.95E-6</v>
      </c>
      <c r="P20" s="9">
        <v>4.95E-6</v>
      </c>
      <c r="Q20" s="5"/>
      <c r="R20" s="13" t="s">
        <v>103</v>
      </c>
    </row>
    <row r="21" spans="2:18" ht="69" x14ac:dyDescent="0.3">
      <c r="B21" s="11" t="s">
        <v>130</v>
      </c>
      <c r="C21" s="4" t="s">
        <v>131</v>
      </c>
      <c r="D21" s="8">
        <f>45.1*0.8404</f>
        <v>37.90204</v>
      </c>
      <c r="E21" s="6" t="s">
        <v>132</v>
      </c>
      <c r="F21" s="7">
        <v>64099.999999999993</v>
      </c>
      <c r="G21" s="6" t="s">
        <v>100</v>
      </c>
      <c r="H21" s="16">
        <f t="shared" si="0"/>
        <v>2.4295207639999994</v>
      </c>
      <c r="I21" s="8"/>
      <c r="J21" s="8"/>
      <c r="K21" s="8"/>
      <c r="L21" s="8"/>
      <c r="M21" s="8"/>
      <c r="N21" s="8"/>
      <c r="O21" s="8"/>
      <c r="P21" s="9"/>
      <c r="Q21" s="5">
        <v>1.759262433046875E-5</v>
      </c>
      <c r="R21" s="11" t="s">
        <v>133</v>
      </c>
    </row>
    <row r="22" spans="2:18" ht="27.6" x14ac:dyDescent="0.3">
      <c r="B22" s="11" t="s">
        <v>134</v>
      </c>
      <c r="C22" s="4" t="s">
        <v>135</v>
      </c>
      <c r="D22" s="8">
        <v>33.6</v>
      </c>
      <c r="E22" s="6" t="s">
        <v>132</v>
      </c>
      <c r="F22" s="7">
        <v>56100</v>
      </c>
      <c r="G22" s="6" t="s">
        <v>109</v>
      </c>
      <c r="H22" s="16">
        <f t="shared" si="0"/>
        <v>1.88496</v>
      </c>
      <c r="I22" s="8">
        <v>3.3599999999999996E-8</v>
      </c>
      <c r="J22" s="8">
        <v>3.3599999999999996E-8</v>
      </c>
      <c r="K22" s="8">
        <v>1.6799999999999997E-7</v>
      </c>
      <c r="L22" s="8">
        <v>1.6799999999999997E-7</v>
      </c>
      <c r="M22" s="8">
        <v>3.3600000000000004E-9</v>
      </c>
      <c r="N22" s="8">
        <v>3.3600000000000004E-9</v>
      </c>
      <c r="O22" s="8">
        <v>3.3600000000000004E-9</v>
      </c>
      <c r="P22" s="9">
        <v>3.3600000000000004E-9</v>
      </c>
      <c r="Q22" s="5">
        <v>1.759262433046875E-5</v>
      </c>
      <c r="R22" s="13" t="s">
        <v>103</v>
      </c>
    </row>
    <row r="23" spans="2:18" ht="27.6" x14ac:dyDescent="0.3">
      <c r="B23" s="11" t="s">
        <v>136</v>
      </c>
      <c r="C23" s="4" t="s">
        <v>62</v>
      </c>
      <c r="D23" s="8">
        <v>44.7</v>
      </c>
      <c r="E23" s="6" t="s">
        <v>109</v>
      </c>
      <c r="F23" s="7">
        <v>64100</v>
      </c>
      <c r="G23" s="6" t="s">
        <v>109</v>
      </c>
      <c r="H23" s="16">
        <f t="shared" si="0"/>
        <v>2.8652700000000002</v>
      </c>
      <c r="I23" s="8">
        <v>1.3260000000000002E-4</v>
      </c>
      <c r="J23" s="8">
        <v>1.3260000000000002E-4</v>
      </c>
      <c r="K23" s="8">
        <v>4.4199999999999996E-4</v>
      </c>
      <c r="L23" s="8">
        <v>4.4199999999999996E-4</v>
      </c>
      <c r="M23" s="8">
        <v>2.6519999999999997E-5</v>
      </c>
      <c r="N23" s="8">
        <v>2.6519999999999997E-5</v>
      </c>
      <c r="O23" s="8">
        <v>2.6519999999999997E-5</v>
      </c>
      <c r="P23" s="9">
        <v>2.6519999999999997E-5</v>
      </c>
      <c r="Q23" s="5"/>
      <c r="R23" s="11" t="s">
        <v>137</v>
      </c>
    </row>
    <row r="24" spans="2:18" ht="41.4" x14ac:dyDescent="0.3">
      <c r="B24" s="11" t="s">
        <v>31</v>
      </c>
      <c r="C24" s="4" t="s">
        <v>118</v>
      </c>
      <c r="D24" s="8">
        <f>(42.3+43.3)/2*0.837*1000/1000</f>
        <v>35.823599999999999</v>
      </c>
      <c r="E24" s="6" t="s">
        <v>119</v>
      </c>
      <c r="F24" s="7">
        <v>74000</v>
      </c>
      <c r="G24" s="6" t="s">
        <v>100</v>
      </c>
      <c r="H24" s="16">
        <f t="shared" si="0"/>
        <v>2.6509464</v>
      </c>
      <c r="I24" s="8">
        <v>1.0836E-7</v>
      </c>
      <c r="J24" s="8">
        <v>1.0836E-7</v>
      </c>
      <c r="K24" s="8">
        <v>3.6119999999999998E-7</v>
      </c>
      <c r="L24" s="8">
        <v>3.6119999999999998E-7</v>
      </c>
      <c r="M24" s="8">
        <v>2.1671999999999997E-8</v>
      </c>
      <c r="N24" s="8">
        <v>2.1671999999999997E-8</v>
      </c>
      <c r="O24" s="8">
        <v>2.1671999999999997E-8</v>
      </c>
      <c r="P24" s="9">
        <v>2.1671999999999997E-8</v>
      </c>
      <c r="Q24" s="5">
        <v>2.2411459459459466E-6</v>
      </c>
      <c r="R24" s="11" t="s">
        <v>138</v>
      </c>
    </row>
    <row r="25" spans="2:18" ht="56.4" x14ac:dyDescent="0.3">
      <c r="B25" s="11" t="s">
        <v>139</v>
      </c>
      <c r="C25" s="4" t="s">
        <v>118</v>
      </c>
      <c r="D25" s="12">
        <f>(44.5*(715/780)/2)/1000</f>
        <v>2.0395833333333332E-2</v>
      </c>
      <c r="E25" s="6" t="s">
        <v>140</v>
      </c>
      <c r="F25" s="7">
        <v>69200</v>
      </c>
      <c r="G25" s="6" t="s">
        <v>109</v>
      </c>
      <c r="H25" s="21">
        <f>F25*D25/1000000</f>
        <v>1.4113916666666667E-3</v>
      </c>
      <c r="I25" s="8">
        <v>9.8345999999999986E-8</v>
      </c>
      <c r="J25" s="8">
        <v>9.8345999999999986E-8</v>
      </c>
      <c r="K25" s="8">
        <v>3.2781999999999998E-7</v>
      </c>
      <c r="L25" s="8">
        <v>3.2781999999999998E-7</v>
      </c>
      <c r="M25" s="8">
        <v>1.9669199999999997E-8</v>
      </c>
      <c r="N25" s="8">
        <v>1.9669199999999997E-8</v>
      </c>
      <c r="O25" s="8">
        <v>1.9669199999999997E-8</v>
      </c>
      <c r="P25" s="9">
        <v>1.9669199999999997E-8</v>
      </c>
      <c r="Q25" s="5">
        <v>2.2411459459459466E-6</v>
      </c>
      <c r="R25" s="11" t="s">
        <v>141</v>
      </c>
    </row>
    <row r="26" spans="2:18" ht="41.4" x14ac:dyDescent="0.3">
      <c r="B26" s="11" t="s">
        <v>142</v>
      </c>
      <c r="C26" s="4" t="s">
        <v>118</v>
      </c>
      <c r="D26" s="8">
        <f>D25</f>
        <v>2.0395833333333332E-2</v>
      </c>
      <c r="E26" s="15" t="str">
        <f>E25</f>
        <v xml:space="preserve">PCI - Despacho n.º 17313/2008; densidade - https://www.engineeringtoolbox.com/fuels-densities-specific-volumes-d_166.html </v>
      </c>
      <c r="F26" s="7">
        <v>70000</v>
      </c>
      <c r="G26" s="6" t="s">
        <v>143</v>
      </c>
      <c r="H26" s="16">
        <f t="shared" si="0"/>
        <v>1.4277083333333333E-3</v>
      </c>
      <c r="I26" s="8">
        <v>9.4358999999999978E-8</v>
      </c>
      <c r="J26" s="8">
        <v>9.4358999999999978E-8</v>
      </c>
      <c r="K26" s="8">
        <v>3.1453E-7</v>
      </c>
      <c r="L26" s="8">
        <v>3.1453E-7</v>
      </c>
      <c r="M26" s="8">
        <v>1.8871799999999998E-8</v>
      </c>
      <c r="N26" s="8">
        <v>1.8871799999999998E-8</v>
      </c>
      <c r="O26" s="8">
        <v>1.8871799999999998E-8</v>
      </c>
      <c r="P26" s="9">
        <v>1.8871799999999998E-8</v>
      </c>
      <c r="Q26" s="5">
        <v>2.2411459459459466E-6</v>
      </c>
      <c r="R26" s="13" t="s">
        <v>103</v>
      </c>
    </row>
    <row r="27" spans="2:18" ht="41.4" x14ac:dyDescent="0.3">
      <c r="B27" s="11" t="s">
        <v>144</v>
      </c>
      <c r="C27" s="4" t="s">
        <v>118</v>
      </c>
      <c r="D27" s="8">
        <f>D26</f>
        <v>2.0395833333333332E-2</v>
      </c>
      <c r="E27" s="15" t="str">
        <f>E26</f>
        <v xml:space="preserve">PCI - Despacho n.º 17313/2008; densidade - https://www.engineeringtoolbox.com/fuels-densities-specific-volumes-d_166.html </v>
      </c>
      <c r="F27" s="7">
        <v>70000</v>
      </c>
      <c r="G27" s="6" t="s">
        <v>143</v>
      </c>
      <c r="H27" s="16">
        <f t="shared" si="0"/>
        <v>1.4277083333333333E-3</v>
      </c>
      <c r="I27" s="8">
        <v>1.3289999999999998E-4</v>
      </c>
      <c r="J27" s="8">
        <v>1.3289999999999998E-4</v>
      </c>
      <c r="K27" s="8">
        <v>4.4299999999999998E-4</v>
      </c>
      <c r="L27" s="8">
        <v>4.4299999999999998E-4</v>
      </c>
      <c r="M27" s="8">
        <v>2.6579999999999996E-5</v>
      </c>
      <c r="N27" s="8">
        <v>2.6579999999999996E-5</v>
      </c>
      <c r="O27" s="8">
        <v>2.6579999999999996E-5</v>
      </c>
      <c r="P27" s="9">
        <v>2.6579999999999996E-5</v>
      </c>
      <c r="Q27" s="5">
        <v>2.2411459459459466E-6</v>
      </c>
      <c r="R27" s="13" t="s">
        <v>103</v>
      </c>
    </row>
    <row r="28" spans="2:18" ht="69" x14ac:dyDescent="0.3">
      <c r="B28" s="11" t="s">
        <v>145</v>
      </c>
      <c r="C28" s="4" t="s">
        <v>62</v>
      </c>
      <c r="D28" s="8">
        <v>8.0500000000000007</v>
      </c>
      <c r="E28" s="6" t="s">
        <v>100</v>
      </c>
      <c r="F28" s="7">
        <v>101100</v>
      </c>
      <c r="G28" s="6" t="s">
        <v>100</v>
      </c>
      <c r="H28" s="16">
        <f t="shared" si="0"/>
        <v>0.81385500000000011</v>
      </c>
      <c r="I28" s="8">
        <v>1.19E-5</v>
      </c>
      <c r="J28" s="8">
        <v>1.1899999999999999E-4</v>
      </c>
      <c r="K28" s="8">
        <v>1.1899999999999999E-4</v>
      </c>
      <c r="L28" s="8">
        <v>3.5699999999999998E-3</v>
      </c>
      <c r="M28" s="8">
        <v>1.785E-5</v>
      </c>
      <c r="N28" s="8">
        <v>1.785E-5</v>
      </c>
      <c r="O28" s="8">
        <v>1.785E-5</v>
      </c>
      <c r="P28" s="9">
        <v>1.785E-5</v>
      </c>
      <c r="Q28" s="5"/>
      <c r="R28" s="11" t="s">
        <v>146</v>
      </c>
    </row>
    <row r="29" spans="2:18" x14ac:dyDescent="0.3">
      <c r="B29" s="11" t="s">
        <v>147</v>
      </c>
      <c r="C29" s="4" t="s">
        <v>62</v>
      </c>
      <c r="D29" s="8">
        <v>15.5</v>
      </c>
      <c r="E29" s="6" t="s">
        <v>100</v>
      </c>
      <c r="F29" s="7">
        <v>101100</v>
      </c>
      <c r="G29" s="6" t="s">
        <v>100</v>
      </c>
      <c r="H29" s="16">
        <f t="shared" si="0"/>
        <v>1.5670500000000001</v>
      </c>
      <c r="I29" s="8">
        <v>2.8199999999999998E-5</v>
      </c>
      <c r="J29" s="8">
        <v>2.8199999999999997E-4</v>
      </c>
      <c r="K29" s="8">
        <v>2.8199999999999997E-4</v>
      </c>
      <c r="L29" s="8">
        <v>8.4599999999999988E-3</v>
      </c>
      <c r="M29" s="8">
        <v>4.2299999999999998E-5</v>
      </c>
      <c r="N29" s="8">
        <v>4.2299999999999998E-5</v>
      </c>
      <c r="O29" s="8">
        <v>4.2299999999999998E-5</v>
      </c>
      <c r="P29" s="9">
        <v>4.2299999999999998E-5</v>
      </c>
      <c r="Q29" s="5"/>
      <c r="R29" s="13" t="s">
        <v>103</v>
      </c>
    </row>
    <row r="30" spans="2:18" ht="41.4" x14ac:dyDescent="0.3">
      <c r="B30" s="11" t="s">
        <v>148</v>
      </c>
      <c r="C30" s="4" t="s">
        <v>62</v>
      </c>
      <c r="D30" s="8">
        <v>40.200000000000003</v>
      </c>
      <c r="E30" s="6" t="s">
        <v>100</v>
      </c>
      <c r="F30" s="7">
        <v>73300</v>
      </c>
      <c r="G30" s="6" t="s">
        <v>109</v>
      </c>
      <c r="H30" s="16">
        <f t="shared" si="0"/>
        <v>2.9466600000000001</v>
      </c>
      <c r="I30" s="8">
        <v>1.2060000000000001E-7</v>
      </c>
      <c r="J30" s="8">
        <v>1.2060000000000001E-7</v>
      </c>
      <c r="K30" s="8">
        <v>4.0200000000000003E-7</v>
      </c>
      <c r="L30" s="8">
        <v>4.0200000000000003E-7</v>
      </c>
      <c r="M30" s="8">
        <v>2.412E-8</v>
      </c>
      <c r="N30" s="8">
        <v>2.412E-8</v>
      </c>
      <c r="O30" s="8">
        <v>2.412E-8</v>
      </c>
      <c r="P30" s="9">
        <v>2.412E-8</v>
      </c>
      <c r="Q30" s="5"/>
      <c r="R30" s="11" t="s">
        <v>149</v>
      </c>
    </row>
    <row r="31" spans="2:18" ht="55.2" x14ac:dyDescent="0.3">
      <c r="B31" s="11" t="s">
        <v>150</v>
      </c>
      <c r="C31" s="4" t="s">
        <v>62</v>
      </c>
      <c r="D31" s="8">
        <v>43</v>
      </c>
      <c r="E31" s="6" t="s">
        <v>100</v>
      </c>
      <c r="F31" s="7">
        <v>73300</v>
      </c>
      <c r="G31" s="6" t="s">
        <v>109</v>
      </c>
      <c r="H31" s="16">
        <f t="shared" si="0"/>
        <v>3.1518999999999999</v>
      </c>
      <c r="I31" s="8">
        <v>1.2899999999999999E-4</v>
      </c>
      <c r="J31" s="8">
        <v>1.2899999999999999E-4</v>
      </c>
      <c r="K31" s="8">
        <v>4.2999999999999999E-4</v>
      </c>
      <c r="L31" s="8">
        <v>4.2999999999999999E-4</v>
      </c>
      <c r="M31" s="8">
        <v>2.58E-5</v>
      </c>
      <c r="N31" s="8">
        <v>2.58E-5</v>
      </c>
      <c r="O31" s="8">
        <v>2.58E-5</v>
      </c>
      <c r="P31" s="9">
        <v>2.58E-5</v>
      </c>
      <c r="Q31" s="5"/>
      <c r="R31" s="11" t="s">
        <v>151</v>
      </c>
    </row>
    <row r="32" spans="2:18" ht="41.4" x14ac:dyDescent="0.3">
      <c r="B32" s="11" t="s">
        <v>152</v>
      </c>
      <c r="C32" s="4" t="s">
        <v>118</v>
      </c>
      <c r="D32" s="8">
        <f>44.5*(0.76+0.79)/2/1000*1000</f>
        <v>34.487500000000004</v>
      </c>
      <c r="E32" s="6" t="s">
        <v>153</v>
      </c>
      <c r="F32" s="7">
        <v>73300</v>
      </c>
      <c r="G32" s="6" t="s">
        <v>109</v>
      </c>
      <c r="H32" s="16">
        <f t="shared" si="0"/>
        <v>2.5279337500000003</v>
      </c>
      <c r="I32" s="8">
        <v>1.02795E-7</v>
      </c>
      <c r="J32" s="8">
        <v>1.02795E-7</v>
      </c>
      <c r="K32" s="8">
        <v>3.4265000000000001E-7</v>
      </c>
      <c r="L32" s="8">
        <v>3.4265000000000001E-7</v>
      </c>
      <c r="M32" s="8">
        <v>2.0559000000000002E-8</v>
      </c>
      <c r="N32" s="8">
        <v>2.0559000000000002E-8</v>
      </c>
      <c r="O32" s="8">
        <v>2.0559000000000002E-8</v>
      </c>
      <c r="P32" s="9">
        <v>2.0559000000000002E-8</v>
      </c>
      <c r="Q32" s="5">
        <v>2.2411459459459466E-6</v>
      </c>
      <c r="R32" s="11" t="s">
        <v>154</v>
      </c>
    </row>
    <row r="33" spans="2:18" x14ac:dyDescent="0.3">
      <c r="B33" s="11" t="s">
        <v>155</v>
      </c>
      <c r="C33" s="4" t="s">
        <v>62</v>
      </c>
      <c r="D33" s="8">
        <v>38.1</v>
      </c>
      <c r="E33" s="6" t="s">
        <v>109</v>
      </c>
      <c r="F33" s="7">
        <v>73300</v>
      </c>
      <c r="G33" s="6" t="s">
        <v>109</v>
      </c>
      <c r="H33" s="16">
        <f t="shared" si="0"/>
        <v>2.7927300000000002</v>
      </c>
      <c r="I33" s="8">
        <v>1.1430000000000001E-7</v>
      </c>
      <c r="J33" s="8">
        <v>1.1430000000000001E-7</v>
      </c>
      <c r="K33" s="8">
        <v>3.8099999999999998E-7</v>
      </c>
      <c r="L33" s="8">
        <v>3.8099999999999998E-7</v>
      </c>
      <c r="M33" s="8">
        <v>2.2860000000000001E-8</v>
      </c>
      <c r="N33" s="8">
        <v>2.2860000000000001E-8</v>
      </c>
      <c r="O33" s="8">
        <v>2.2860000000000001E-8</v>
      </c>
      <c r="P33" s="9">
        <v>2.2860000000000001E-8</v>
      </c>
      <c r="Q33" s="5"/>
      <c r="R33" s="11" t="s">
        <v>156</v>
      </c>
    </row>
    <row r="34" spans="2:18" x14ac:dyDescent="0.3">
      <c r="B34" s="11" t="s">
        <v>157</v>
      </c>
      <c r="C34" s="4" t="s">
        <v>62</v>
      </c>
      <c r="D34" s="8">
        <v>40.200000000000003</v>
      </c>
      <c r="E34" s="6" t="s">
        <v>109</v>
      </c>
      <c r="F34" s="7">
        <v>73300</v>
      </c>
      <c r="G34" s="6" t="s">
        <v>109</v>
      </c>
      <c r="H34" s="16">
        <f t="shared" si="0"/>
        <v>2.9466600000000001</v>
      </c>
      <c r="I34" s="8">
        <v>1.206E-3</v>
      </c>
      <c r="J34" s="8">
        <v>1.206E-3</v>
      </c>
      <c r="K34" s="8">
        <v>1.206E-2</v>
      </c>
      <c r="L34" s="8">
        <v>1.206E-2</v>
      </c>
      <c r="M34" s="8">
        <v>1.6080000000000001E-4</v>
      </c>
      <c r="N34" s="8">
        <v>1.6080000000000001E-4</v>
      </c>
      <c r="O34" s="8">
        <v>1.6080000000000001E-4</v>
      </c>
      <c r="P34" s="9">
        <v>1.6080000000000001E-4</v>
      </c>
      <c r="Q34" s="5"/>
      <c r="R34" s="13" t="s">
        <v>103</v>
      </c>
    </row>
    <row r="35" spans="2:18" x14ac:dyDescent="0.3">
      <c r="B35" s="11" t="s">
        <v>158</v>
      </c>
      <c r="C35" s="4" t="s">
        <v>62</v>
      </c>
      <c r="D35" s="8">
        <v>27.5</v>
      </c>
      <c r="E35" s="6" t="s">
        <v>100</v>
      </c>
      <c r="F35" s="7">
        <v>76900</v>
      </c>
      <c r="G35" s="6" t="s">
        <v>109</v>
      </c>
      <c r="H35" s="16">
        <f t="shared" si="0"/>
        <v>2.1147499999999999</v>
      </c>
      <c r="I35" s="8">
        <v>8.25E-5</v>
      </c>
      <c r="J35" s="8">
        <v>8.25E-5</v>
      </c>
      <c r="K35" s="8">
        <v>2.7499999999999996E-4</v>
      </c>
      <c r="L35" s="8">
        <v>2.7499999999999996E-4</v>
      </c>
      <c r="M35" s="8">
        <v>1.6499999999999998E-5</v>
      </c>
      <c r="N35" s="8">
        <v>1.6499999999999998E-5</v>
      </c>
      <c r="O35" s="8">
        <v>1.6499999999999998E-5</v>
      </c>
      <c r="P35" s="9">
        <v>1.6499999999999998E-5</v>
      </c>
      <c r="Q35" s="5"/>
      <c r="R35" s="13" t="s">
        <v>103</v>
      </c>
    </row>
    <row r="36" spans="2:18" x14ac:dyDescent="0.3">
      <c r="B36" s="11" t="s">
        <v>159</v>
      </c>
      <c r="C36" s="4" t="s">
        <v>62</v>
      </c>
      <c r="D36" s="8">
        <v>33.840000000000003</v>
      </c>
      <c r="E36" s="6" t="s">
        <v>100</v>
      </c>
      <c r="F36" s="7">
        <v>94600</v>
      </c>
      <c r="G36" s="6" t="s">
        <v>143</v>
      </c>
      <c r="H36" s="16">
        <f t="shared" si="0"/>
        <v>3.2012640000000006</v>
      </c>
      <c r="I36" s="8">
        <v>2.58E-5</v>
      </c>
      <c r="J36" s="8">
        <v>2.5799999999999998E-4</v>
      </c>
      <c r="K36" s="8">
        <v>2.5799999999999998E-4</v>
      </c>
      <c r="L36" s="8">
        <v>7.7399999999999995E-3</v>
      </c>
      <c r="M36" s="8">
        <v>3.8699999999999999E-5</v>
      </c>
      <c r="N36" s="8">
        <v>3.8699999999999999E-5</v>
      </c>
      <c r="O36" s="8">
        <v>3.8699999999999999E-5</v>
      </c>
      <c r="P36" s="9">
        <v>3.8699999999999999E-5</v>
      </c>
      <c r="Q36" s="5"/>
      <c r="R36" s="13" t="s">
        <v>103</v>
      </c>
    </row>
    <row r="37" spans="2:18" ht="55.2" x14ac:dyDescent="0.3">
      <c r="B37" s="11" t="s">
        <v>160</v>
      </c>
      <c r="C37" s="4" t="s">
        <v>118</v>
      </c>
      <c r="D37" s="8">
        <f>34.839*850/1000</f>
        <v>29.613149999999997</v>
      </c>
      <c r="E37" s="6" t="s">
        <v>161</v>
      </c>
      <c r="F37" s="7">
        <v>73300</v>
      </c>
      <c r="G37" s="6" t="s">
        <v>109</v>
      </c>
      <c r="H37" s="16">
        <f t="shared" si="0"/>
        <v>2.170643895</v>
      </c>
      <c r="I37" s="8">
        <v>1.0151999999999999E-7</v>
      </c>
      <c r="J37" s="8">
        <v>1.0151999999999999E-7</v>
      </c>
      <c r="K37" s="8">
        <v>3.3840000000000001E-7</v>
      </c>
      <c r="L37" s="8">
        <v>3.3840000000000001E-7</v>
      </c>
      <c r="M37" s="8">
        <v>2.0304000000000001E-8</v>
      </c>
      <c r="N37" s="8">
        <v>2.0304000000000001E-8</v>
      </c>
      <c r="O37" s="8">
        <v>2.0304000000000001E-8</v>
      </c>
      <c r="P37" s="9">
        <v>2.0304000000000001E-8</v>
      </c>
      <c r="Q37" s="5">
        <v>2.2411459459459466E-6</v>
      </c>
      <c r="R37" s="11" t="s">
        <v>162</v>
      </c>
    </row>
    <row r="38" spans="2:18" ht="42.6" x14ac:dyDescent="0.3">
      <c r="B38" s="11" t="s">
        <v>163</v>
      </c>
      <c r="C38" s="4" t="s">
        <v>118</v>
      </c>
      <c r="D38" s="8">
        <f>43.8*(775+840)/2/1000</f>
        <v>35.368499999999997</v>
      </c>
      <c r="E38" s="6" t="s">
        <v>164</v>
      </c>
      <c r="F38" s="7">
        <v>71500</v>
      </c>
      <c r="G38" s="6" t="s">
        <v>143</v>
      </c>
      <c r="H38" s="16">
        <f t="shared" si="0"/>
        <v>2.5288477500000002</v>
      </c>
      <c r="I38" s="8">
        <v>1.0451700000000001E-7</v>
      </c>
      <c r="J38" s="8">
        <v>1.0451700000000001E-7</v>
      </c>
      <c r="K38" s="8">
        <v>3.4839000000000001E-7</v>
      </c>
      <c r="L38" s="8">
        <v>3.4839000000000001E-7</v>
      </c>
      <c r="M38" s="8">
        <v>2.09034E-8</v>
      </c>
      <c r="N38" s="8">
        <v>2.09034E-8</v>
      </c>
      <c r="O38" s="8">
        <v>2.09034E-8</v>
      </c>
      <c r="P38" s="9">
        <v>2.09034E-8</v>
      </c>
      <c r="Q38" s="5">
        <v>2.2411459459459466E-6</v>
      </c>
      <c r="R38" s="11" t="s">
        <v>165</v>
      </c>
    </row>
    <row r="39" spans="2:18" ht="41.4" x14ac:dyDescent="0.3">
      <c r="B39" s="11" t="s">
        <v>166</v>
      </c>
      <c r="C39" s="4" t="s">
        <v>62</v>
      </c>
      <c r="D39" s="8">
        <v>10</v>
      </c>
      <c r="E39" s="6" t="s">
        <v>143</v>
      </c>
      <c r="F39" s="7">
        <v>91700</v>
      </c>
      <c r="G39" s="6" t="s">
        <v>143</v>
      </c>
      <c r="H39" s="16">
        <f t="shared" si="0"/>
        <v>0.91700000000000004</v>
      </c>
      <c r="I39" s="8">
        <v>2.9999999999999997E-4</v>
      </c>
      <c r="J39" s="8">
        <v>2.9999999999999997E-4</v>
      </c>
      <c r="K39" s="8">
        <v>3.0000000000000001E-3</v>
      </c>
      <c r="L39" s="8">
        <v>3.0000000000000001E-3</v>
      </c>
      <c r="M39" s="8">
        <v>3.9999999999999996E-5</v>
      </c>
      <c r="N39" s="8">
        <v>3.9999999999999996E-5</v>
      </c>
      <c r="O39" s="8">
        <v>3.9999999999999996E-5</v>
      </c>
      <c r="P39" s="9">
        <v>3.9999999999999996E-5</v>
      </c>
      <c r="Q39" s="5"/>
      <c r="R39" s="11" t="s">
        <v>167</v>
      </c>
    </row>
    <row r="40" spans="2:18" ht="55.2" x14ac:dyDescent="0.3">
      <c r="B40" s="11" t="s">
        <v>168</v>
      </c>
      <c r="C40" s="4" t="s">
        <v>62</v>
      </c>
      <c r="D40" s="12">
        <v>8.5</v>
      </c>
      <c r="E40" s="6" t="s">
        <v>109</v>
      </c>
      <c r="F40" s="7">
        <v>106600</v>
      </c>
      <c r="G40" s="6" t="s">
        <v>109</v>
      </c>
      <c r="H40" s="16">
        <f t="shared" si="0"/>
        <v>0.90610000000000002</v>
      </c>
      <c r="I40" s="8">
        <v>8.8999999999999995E-6</v>
      </c>
      <c r="J40" s="8">
        <v>8.8999999999999995E-5</v>
      </c>
      <c r="K40" s="8">
        <v>8.8999999999999995E-5</v>
      </c>
      <c r="L40" s="8">
        <v>2.6700000000000001E-3</v>
      </c>
      <c r="M40" s="8">
        <v>1.3350000000000001E-5</v>
      </c>
      <c r="N40" s="8">
        <v>1.3350000000000001E-5</v>
      </c>
      <c r="O40" s="8">
        <v>1.3350000000000001E-5</v>
      </c>
      <c r="P40" s="9">
        <v>1.3350000000000001E-5</v>
      </c>
      <c r="Q40" s="5"/>
      <c r="R40" s="11" t="s">
        <v>169</v>
      </c>
    </row>
    <row r="41" spans="2:18" x14ac:dyDescent="0.3">
      <c r="B41" s="11" t="s">
        <v>170</v>
      </c>
      <c r="C41" s="4" t="s">
        <v>62</v>
      </c>
      <c r="D41" s="8">
        <v>27</v>
      </c>
      <c r="E41" s="6" t="s">
        <v>100</v>
      </c>
      <c r="F41" s="7">
        <v>70800</v>
      </c>
      <c r="G41" s="6" t="s">
        <v>143</v>
      </c>
      <c r="H41" s="16">
        <f t="shared" si="0"/>
        <v>1.9116</v>
      </c>
      <c r="I41" s="8">
        <v>8.099999999999999E-5</v>
      </c>
      <c r="J41" s="8">
        <v>8.099999999999999E-5</v>
      </c>
      <c r="K41" s="8">
        <v>2.7E-4</v>
      </c>
      <c r="L41" s="8">
        <v>2.7E-4</v>
      </c>
      <c r="M41" s="8">
        <v>1.6199999999999997E-5</v>
      </c>
      <c r="N41" s="8">
        <v>1.6199999999999997E-5</v>
      </c>
      <c r="O41" s="8">
        <v>1.6199999999999997E-5</v>
      </c>
      <c r="P41" s="9">
        <v>1.6199999999999997E-5</v>
      </c>
      <c r="Q41" s="5"/>
      <c r="R41" s="11" t="s">
        <v>171</v>
      </c>
    </row>
    <row r="42" spans="2:18" ht="55.2" x14ac:dyDescent="0.3">
      <c r="B42" s="11" t="s">
        <v>172</v>
      </c>
      <c r="C42" s="4" t="s">
        <v>62</v>
      </c>
      <c r="D42" s="8">
        <v>27</v>
      </c>
      <c r="E42" s="6" t="s">
        <v>100</v>
      </c>
      <c r="F42" s="7">
        <v>70800</v>
      </c>
      <c r="G42" s="6" t="s">
        <v>143</v>
      </c>
      <c r="H42" s="16">
        <f t="shared" si="0"/>
        <v>1.9116</v>
      </c>
      <c r="I42" s="8">
        <v>8.099999999999999E-5</v>
      </c>
      <c r="J42" s="8">
        <v>8.099999999999999E-5</v>
      </c>
      <c r="K42" s="8">
        <v>2.7E-4</v>
      </c>
      <c r="L42" s="8">
        <v>2.7E-4</v>
      </c>
      <c r="M42" s="8">
        <v>1.6199999999999997E-5</v>
      </c>
      <c r="N42" s="8">
        <v>1.6199999999999997E-5</v>
      </c>
      <c r="O42" s="8">
        <v>1.6199999999999997E-5</v>
      </c>
      <c r="P42" s="9">
        <v>1.6199999999999997E-5</v>
      </c>
      <c r="Q42" s="5"/>
      <c r="R42" s="11" t="s">
        <v>173</v>
      </c>
    </row>
    <row r="43" spans="2:18" x14ac:dyDescent="0.3">
      <c r="B43" s="11" t="s">
        <v>174</v>
      </c>
      <c r="C43" s="4" t="s">
        <v>62</v>
      </c>
      <c r="D43" s="8">
        <v>29.5</v>
      </c>
      <c r="E43" s="6" t="s">
        <v>100</v>
      </c>
      <c r="F43" s="7">
        <v>112000</v>
      </c>
      <c r="G43" s="6" t="s">
        <v>143</v>
      </c>
      <c r="H43" s="16">
        <f t="shared" si="0"/>
        <v>3.3039999999999998</v>
      </c>
      <c r="I43" s="8">
        <v>5.8999999999999999E-3</v>
      </c>
      <c r="J43" s="8">
        <v>5.8999999999999999E-3</v>
      </c>
      <c r="K43" s="8">
        <v>5.8999999999999999E-3</v>
      </c>
      <c r="L43" s="8">
        <v>5.8999999999999999E-3</v>
      </c>
      <c r="M43" s="8">
        <v>1.18E-4</v>
      </c>
      <c r="N43" s="8">
        <v>1.18E-4</v>
      </c>
      <c r="O43" s="8">
        <v>2.9499999999999999E-5</v>
      </c>
      <c r="P43" s="9">
        <v>2.9499999999999999E-5</v>
      </c>
      <c r="Q43" s="5"/>
      <c r="R43" s="11" t="s">
        <v>175</v>
      </c>
    </row>
    <row r="44" spans="2:18" x14ac:dyDescent="0.3">
      <c r="B44" s="11" t="s">
        <v>176</v>
      </c>
      <c r="C44" s="4" t="s">
        <v>62</v>
      </c>
      <c r="D44" s="8">
        <v>50.4</v>
      </c>
      <c r="E44" s="6" t="s">
        <v>100</v>
      </c>
      <c r="F44" s="7">
        <v>54600</v>
      </c>
      <c r="G44" s="6" t="s">
        <v>143</v>
      </c>
      <c r="H44" s="16">
        <f t="shared" si="0"/>
        <v>2.7518400000000001</v>
      </c>
      <c r="I44" s="8">
        <v>5.0399999999999999E-5</v>
      </c>
      <c r="J44" s="8">
        <v>5.0399999999999999E-5</v>
      </c>
      <c r="K44" s="8">
        <v>2.52E-4</v>
      </c>
      <c r="L44" s="8">
        <v>2.52E-4</v>
      </c>
      <c r="M44" s="8">
        <v>5.04E-6</v>
      </c>
      <c r="N44" s="8">
        <v>5.04E-6</v>
      </c>
      <c r="O44" s="8">
        <v>5.04E-6</v>
      </c>
      <c r="P44" s="9">
        <v>5.04E-6</v>
      </c>
      <c r="Q44" s="5"/>
      <c r="R44" s="11" t="s">
        <v>177</v>
      </c>
    </row>
    <row r="45" spans="2:18" ht="27.6" x14ac:dyDescent="0.3">
      <c r="B45" s="11" t="s">
        <v>178</v>
      </c>
      <c r="C45" s="11" t="s">
        <v>62</v>
      </c>
      <c r="D45" s="8">
        <v>14.7</v>
      </c>
      <c r="E45" s="6" t="s">
        <v>100</v>
      </c>
      <c r="F45" s="7">
        <v>112000</v>
      </c>
      <c r="G45" s="6" t="s">
        <v>143</v>
      </c>
      <c r="H45" s="16">
        <f t="shared" si="0"/>
        <v>1.6464000000000001</v>
      </c>
      <c r="I45" s="8">
        <v>4.6799999999999999E-4</v>
      </c>
      <c r="J45" s="8">
        <v>4.6799999999999999E-4</v>
      </c>
      <c r="K45" s="8">
        <v>4.6800000000000001E-3</v>
      </c>
      <c r="L45" s="8">
        <v>4.6800000000000001E-3</v>
      </c>
      <c r="M45" s="8">
        <v>6.2399999999999999E-5</v>
      </c>
      <c r="N45" s="8">
        <v>6.2399999999999999E-5</v>
      </c>
      <c r="O45" s="8">
        <v>6.2399999999999999E-5</v>
      </c>
      <c r="P45" s="9">
        <v>6.2399999999999999E-5</v>
      </c>
      <c r="Q45" s="5"/>
      <c r="R45" s="11" t="s">
        <v>179</v>
      </c>
    </row>
    <row r="46" spans="2:18" ht="27.6" x14ac:dyDescent="0.3">
      <c r="B46" s="11" t="s">
        <v>180</v>
      </c>
      <c r="C46" s="11" t="s">
        <v>62</v>
      </c>
      <c r="D46" s="8">
        <v>11.6</v>
      </c>
      <c r="E46" s="6" t="s">
        <v>100</v>
      </c>
      <c r="F46" s="7">
        <v>100000</v>
      </c>
      <c r="G46" s="6" t="s">
        <v>143</v>
      </c>
      <c r="H46" s="16">
        <f t="shared" si="0"/>
        <v>1.1599999999999999</v>
      </c>
      <c r="I46" s="8">
        <v>3.48E-4</v>
      </c>
      <c r="J46" s="8">
        <v>2.32E-4</v>
      </c>
      <c r="K46" s="8">
        <v>3.48E-3</v>
      </c>
      <c r="L46" s="8">
        <v>3.48E-3</v>
      </c>
      <c r="M46" s="8">
        <v>4.6399999999999996E-5</v>
      </c>
      <c r="N46" s="8">
        <v>4.6399999999999996E-5</v>
      </c>
      <c r="O46" s="8">
        <v>4.6399999999999996E-5</v>
      </c>
      <c r="P46" s="9">
        <v>4.6399999999999996E-5</v>
      </c>
      <c r="Q46" s="5"/>
      <c r="R46" s="13" t="s">
        <v>103</v>
      </c>
    </row>
    <row r="47" spans="2:18" ht="27.6" x14ac:dyDescent="0.3">
      <c r="B47" s="11" t="s">
        <v>181</v>
      </c>
      <c r="C47" s="11" t="s">
        <v>62</v>
      </c>
      <c r="D47" s="8">
        <v>27.4</v>
      </c>
      <c r="E47" s="6" t="s">
        <v>100</v>
      </c>
      <c r="F47" s="7">
        <v>79600</v>
      </c>
      <c r="G47" s="6" t="s">
        <v>143</v>
      </c>
      <c r="H47" s="16">
        <f t="shared" si="0"/>
        <v>2.1810399999999999</v>
      </c>
      <c r="I47" s="8">
        <v>8.2199999999999979E-5</v>
      </c>
      <c r="J47" s="8">
        <v>8.2199999999999979E-5</v>
      </c>
      <c r="K47" s="8">
        <v>2.7399999999999999E-4</v>
      </c>
      <c r="L47" s="8">
        <v>2.7399999999999999E-4</v>
      </c>
      <c r="M47" s="8">
        <v>1.6439999999999998E-5</v>
      </c>
      <c r="N47" s="8">
        <v>1.6439999999999998E-5</v>
      </c>
      <c r="O47" s="8">
        <v>1.6439999999999998E-5</v>
      </c>
      <c r="P47" s="9">
        <v>1.6439999999999998E-5</v>
      </c>
      <c r="Q47" s="5"/>
      <c r="R47" s="11" t="s">
        <v>182</v>
      </c>
    </row>
    <row r="48" spans="2:18" ht="27.6" x14ac:dyDescent="0.3">
      <c r="B48" s="11" t="s">
        <v>183</v>
      </c>
      <c r="C48" s="11" t="s">
        <v>62</v>
      </c>
      <c r="D48" s="8">
        <v>11.6</v>
      </c>
      <c r="E48" s="6" t="s">
        <v>143</v>
      </c>
      <c r="F48" s="7">
        <v>100000</v>
      </c>
      <c r="G48" s="6" t="s">
        <v>143</v>
      </c>
      <c r="H48" s="16">
        <f t="shared" si="0"/>
        <v>1.1599999999999999</v>
      </c>
      <c r="I48" s="8">
        <v>3.48E-4</v>
      </c>
      <c r="J48" s="8">
        <v>3.48E-4</v>
      </c>
      <c r="K48" s="8">
        <v>3.48E-3</v>
      </c>
      <c r="L48" s="8">
        <v>3.48E-3</v>
      </c>
      <c r="M48" s="8">
        <v>4.6399999999999996E-5</v>
      </c>
      <c r="N48" s="8">
        <v>4.6399999999999996E-5</v>
      </c>
      <c r="O48" s="8">
        <v>4.6399999999999996E-5</v>
      </c>
      <c r="P48" s="9">
        <v>4.6399999999999996E-5</v>
      </c>
      <c r="Q48" s="5"/>
      <c r="R48" s="11" t="s">
        <v>184</v>
      </c>
    </row>
    <row r="49" spans="2:18" ht="41.4" x14ac:dyDescent="0.3">
      <c r="B49" s="11" t="s">
        <v>185</v>
      </c>
      <c r="C49" s="11" t="s">
        <v>62</v>
      </c>
      <c r="D49" s="8">
        <v>10.8</v>
      </c>
      <c r="E49" s="6" t="s">
        <v>100</v>
      </c>
      <c r="F49" s="7">
        <v>106000</v>
      </c>
      <c r="G49" s="6" t="s">
        <v>143</v>
      </c>
      <c r="H49" s="16">
        <f t="shared" si="0"/>
        <v>1.1448</v>
      </c>
      <c r="I49" s="8">
        <v>9.7599999999999997E-6</v>
      </c>
      <c r="J49" s="8">
        <v>1.9519999999999999E-5</v>
      </c>
      <c r="K49" s="8">
        <v>9.7599999999999987E-5</v>
      </c>
      <c r="L49" s="8">
        <v>2.928E-3</v>
      </c>
      <c r="M49" s="8">
        <v>1.464E-5</v>
      </c>
      <c r="N49" s="8">
        <v>1.464E-5</v>
      </c>
      <c r="O49" s="8">
        <v>1.3663999999999998E-5</v>
      </c>
      <c r="P49" s="9">
        <v>1.3663999999999998E-5</v>
      </c>
      <c r="Q49" s="5"/>
      <c r="R49" s="11" t="s">
        <v>186</v>
      </c>
    </row>
  </sheetData>
  <mergeCells count="10">
    <mergeCell ref="I2:P2"/>
    <mergeCell ref="Q2:Q4"/>
    <mergeCell ref="R2:R4"/>
    <mergeCell ref="I3:L3"/>
    <mergeCell ref="M3:P3"/>
    <mergeCell ref="B2:B4"/>
    <mergeCell ref="C2:C4"/>
    <mergeCell ref="D2:E3"/>
    <mergeCell ref="F2:G3"/>
    <mergeCell ref="H2: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2E55-C9A9-46CC-9AED-CC98C04B3943}">
  <sheetPr>
    <tabColor rgb="FFFFC000"/>
  </sheetPr>
  <dimension ref="B2:R10"/>
  <sheetViews>
    <sheetView showGridLines="0" zoomScale="80" zoomScaleNormal="80" workbookViewId="0">
      <selection activeCell="I6" sqref="I6"/>
    </sheetView>
  </sheetViews>
  <sheetFormatPr defaultRowHeight="14.4" x14ac:dyDescent="0.3"/>
  <cols>
    <col min="1" max="1" width="4.6640625" customWidth="1"/>
    <col min="2" max="2" width="25" customWidth="1"/>
    <col min="3" max="3" width="11.88671875" customWidth="1"/>
    <col min="4" max="4" width="12.109375" customWidth="1"/>
    <col min="5" max="5" width="51.6640625" customWidth="1"/>
    <col min="6" max="6" width="11.88671875" customWidth="1"/>
    <col min="7" max="7" width="35.6640625" customWidth="1"/>
    <col min="8" max="8" width="15.33203125" customWidth="1"/>
    <col min="9" max="9" width="12.6640625" customWidth="1"/>
    <col min="10" max="10" width="12" customWidth="1"/>
    <col min="11" max="11" width="12.6640625" customWidth="1"/>
    <col min="12" max="12" width="14.33203125" customWidth="1"/>
    <col min="13" max="13" width="9" bestFit="1" customWidth="1"/>
    <col min="14" max="14" width="14.44140625" customWidth="1"/>
    <col min="15" max="15" width="14.6640625" customWidth="1"/>
    <col min="16" max="16" width="15.44140625" customWidth="1"/>
    <col min="17" max="17" width="20.109375" customWidth="1"/>
    <col min="18" max="18" width="132.6640625" customWidth="1"/>
  </cols>
  <sheetData>
    <row r="2" spans="2:18" x14ac:dyDescent="0.3">
      <c r="B2" s="186" t="s">
        <v>81</v>
      </c>
      <c r="C2" s="187" t="s">
        <v>82</v>
      </c>
      <c r="D2" s="178" t="s">
        <v>83</v>
      </c>
      <c r="E2" s="179"/>
      <c r="F2" s="178" t="s">
        <v>84</v>
      </c>
      <c r="G2" s="179"/>
      <c r="H2" s="186" t="s">
        <v>84</v>
      </c>
      <c r="I2" s="182" t="s">
        <v>85</v>
      </c>
      <c r="J2" s="183"/>
      <c r="K2" s="183"/>
      <c r="L2" s="183"/>
      <c r="M2" s="183"/>
      <c r="N2" s="183"/>
      <c r="O2" s="183"/>
      <c r="P2" s="184"/>
      <c r="Q2" s="186" t="s">
        <v>86</v>
      </c>
      <c r="R2" s="178" t="s">
        <v>87</v>
      </c>
    </row>
    <row r="3" spans="2:18" ht="15" x14ac:dyDescent="0.3">
      <c r="B3" s="173"/>
      <c r="C3" s="176"/>
      <c r="D3" s="180"/>
      <c r="E3" s="181"/>
      <c r="F3" s="180"/>
      <c r="G3" s="181"/>
      <c r="H3" s="174"/>
      <c r="I3" s="182" t="s">
        <v>88</v>
      </c>
      <c r="J3" s="183"/>
      <c r="K3" s="183"/>
      <c r="L3" s="184"/>
      <c r="M3" s="182" t="s">
        <v>89</v>
      </c>
      <c r="N3" s="183"/>
      <c r="O3" s="183"/>
      <c r="P3" s="184"/>
      <c r="Q3" s="173"/>
      <c r="R3" s="185"/>
    </row>
    <row r="4" spans="2:18" ht="51" customHeight="1" x14ac:dyDescent="0.3">
      <c r="B4" s="174"/>
      <c r="C4" s="177"/>
      <c r="D4" s="24" t="s">
        <v>90</v>
      </c>
      <c r="E4" s="24" t="s">
        <v>91</v>
      </c>
      <c r="F4" s="24" t="s">
        <v>92</v>
      </c>
      <c r="G4" s="24" t="s">
        <v>91</v>
      </c>
      <c r="H4" s="23" t="s">
        <v>93</v>
      </c>
      <c r="I4" s="25" t="s">
        <v>94</v>
      </c>
      <c r="J4" s="25" t="s">
        <v>95</v>
      </c>
      <c r="K4" s="25" t="s">
        <v>96</v>
      </c>
      <c r="L4" s="25" t="s">
        <v>97</v>
      </c>
      <c r="M4" s="25" t="s">
        <v>94</v>
      </c>
      <c r="N4" s="25" t="s">
        <v>95</v>
      </c>
      <c r="O4" s="25" t="s">
        <v>96</v>
      </c>
      <c r="P4" s="25" t="s">
        <v>97</v>
      </c>
      <c r="Q4" s="174"/>
      <c r="R4" s="180"/>
    </row>
    <row r="5" spans="2:18" ht="69" x14ac:dyDescent="0.3">
      <c r="B5" s="11" t="s">
        <v>130</v>
      </c>
      <c r="C5" s="4" t="s">
        <v>131</v>
      </c>
      <c r="D5" s="8">
        <f>45.1*0.8404</f>
        <v>37.90204</v>
      </c>
      <c r="E5" s="6" t="s">
        <v>132</v>
      </c>
      <c r="F5" s="7">
        <v>64099.999999999993</v>
      </c>
      <c r="G5" s="6" t="s">
        <v>100</v>
      </c>
      <c r="H5" s="16">
        <f t="shared" ref="H5:H10" si="0">F5*D5/1000000</f>
        <v>2.4295207639999994</v>
      </c>
      <c r="I5" s="8"/>
      <c r="J5" s="8"/>
      <c r="K5" s="8"/>
      <c r="L5" s="8"/>
      <c r="M5" s="8"/>
      <c r="N5" s="8"/>
      <c r="O5" s="8"/>
      <c r="P5" s="9"/>
      <c r="Q5" s="5">
        <v>1.759262433046875E-5</v>
      </c>
      <c r="R5" s="11" t="s">
        <v>133</v>
      </c>
    </row>
    <row r="6" spans="2:18" ht="41.4" x14ac:dyDescent="0.3">
      <c r="B6" s="11" t="s">
        <v>31</v>
      </c>
      <c r="C6" s="4" t="s">
        <v>118</v>
      </c>
      <c r="D6" s="8">
        <f>(42.3+43.3)/2*0.837*1000/1000</f>
        <v>35.823599999999999</v>
      </c>
      <c r="E6" s="6" t="s">
        <v>119</v>
      </c>
      <c r="F6" s="7">
        <v>74000</v>
      </c>
      <c r="G6" s="6" t="s">
        <v>100</v>
      </c>
      <c r="H6" s="16">
        <f t="shared" si="0"/>
        <v>2.6509464</v>
      </c>
      <c r="I6" s="8">
        <v>1.0836E-7</v>
      </c>
      <c r="J6" s="8">
        <v>1.0836E-7</v>
      </c>
      <c r="K6" s="8">
        <v>3.6119999999999998E-7</v>
      </c>
      <c r="L6" s="8">
        <v>3.6119999999999998E-7</v>
      </c>
      <c r="M6" s="8">
        <v>2.1671999999999997E-8</v>
      </c>
      <c r="N6" s="8">
        <v>2.1671999999999997E-8</v>
      </c>
      <c r="O6" s="8">
        <v>2.1671999999999997E-8</v>
      </c>
      <c r="P6" s="9">
        <v>2.1671999999999997E-8</v>
      </c>
      <c r="Q6" s="5">
        <v>2.2411459459459466E-6</v>
      </c>
      <c r="R6" s="11" t="s">
        <v>138</v>
      </c>
    </row>
    <row r="7" spans="2:18" ht="56.4" x14ac:dyDescent="0.3">
      <c r="B7" s="11" t="s">
        <v>139</v>
      </c>
      <c r="C7" s="4" t="s">
        <v>118</v>
      </c>
      <c r="D7" s="12">
        <f>(44.5*(715/780)/2)/1000</f>
        <v>2.0395833333333332E-2</v>
      </c>
      <c r="E7" s="6" t="s">
        <v>140</v>
      </c>
      <c r="F7" s="7">
        <v>69200</v>
      </c>
      <c r="G7" s="6" t="s">
        <v>109</v>
      </c>
      <c r="H7" s="21">
        <f>F7*D7/1000000</f>
        <v>1.4113916666666667E-3</v>
      </c>
      <c r="I7" s="8">
        <v>9.8345999999999986E-8</v>
      </c>
      <c r="J7" s="8">
        <v>9.8345999999999986E-8</v>
      </c>
      <c r="K7" s="8">
        <v>3.2781999999999998E-7</v>
      </c>
      <c r="L7" s="8">
        <v>3.2781999999999998E-7</v>
      </c>
      <c r="M7" s="8">
        <v>1.9669199999999997E-8</v>
      </c>
      <c r="N7" s="8">
        <v>1.9669199999999997E-8</v>
      </c>
      <c r="O7" s="8">
        <v>1.9669199999999997E-8</v>
      </c>
      <c r="P7" s="9">
        <v>1.9669199999999997E-8</v>
      </c>
      <c r="Q7" s="5">
        <v>2.2411459459459466E-6</v>
      </c>
      <c r="R7" s="11" t="s">
        <v>141</v>
      </c>
    </row>
    <row r="8" spans="2:18" x14ac:dyDescent="0.3">
      <c r="B8" s="11" t="s">
        <v>170</v>
      </c>
      <c r="C8" s="4" t="s">
        <v>62</v>
      </c>
      <c r="D8" s="8">
        <v>27</v>
      </c>
      <c r="E8" s="6" t="s">
        <v>100</v>
      </c>
      <c r="F8" s="7">
        <v>70800</v>
      </c>
      <c r="G8" s="6" t="s">
        <v>143</v>
      </c>
      <c r="H8" s="16">
        <f t="shared" si="0"/>
        <v>1.9116</v>
      </c>
      <c r="I8" s="8">
        <v>8.099999999999999E-5</v>
      </c>
      <c r="J8" s="8">
        <v>8.099999999999999E-5</v>
      </c>
      <c r="K8" s="8">
        <v>2.7E-4</v>
      </c>
      <c r="L8" s="8">
        <v>2.7E-4</v>
      </c>
      <c r="M8" s="8">
        <v>1.6199999999999997E-5</v>
      </c>
      <c r="N8" s="8">
        <v>1.6199999999999997E-5</v>
      </c>
      <c r="O8" s="8">
        <v>1.6199999999999997E-5</v>
      </c>
      <c r="P8" s="9">
        <v>1.6199999999999997E-5</v>
      </c>
      <c r="Q8" s="5"/>
      <c r="R8" s="11" t="s">
        <v>171</v>
      </c>
    </row>
    <row r="9" spans="2:18" ht="55.2" x14ac:dyDescent="0.3">
      <c r="B9" s="11" t="s">
        <v>172</v>
      </c>
      <c r="C9" s="4" t="s">
        <v>62</v>
      </c>
      <c r="D9" s="8">
        <v>27</v>
      </c>
      <c r="E9" s="6" t="s">
        <v>100</v>
      </c>
      <c r="F9" s="7">
        <v>70800</v>
      </c>
      <c r="G9" s="6" t="s">
        <v>143</v>
      </c>
      <c r="H9" s="16">
        <f t="shared" si="0"/>
        <v>1.9116</v>
      </c>
      <c r="I9" s="8">
        <v>8.099999999999999E-5</v>
      </c>
      <c r="J9" s="8">
        <v>8.099999999999999E-5</v>
      </c>
      <c r="K9" s="8">
        <v>2.7E-4</v>
      </c>
      <c r="L9" s="8">
        <v>2.7E-4</v>
      </c>
      <c r="M9" s="8">
        <v>1.6199999999999997E-5</v>
      </c>
      <c r="N9" s="8">
        <v>1.6199999999999997E-5</v>
      </c>
      <c r="O9" s="8">
        <v>1.6199999999999997E-5</v>
      </c>
      <c r="P9" s="9">
        <v>1.6199999999999997E-5</v>
      </c>
      <c r="Q9" s="5"/>
      <c r="R9" s="11" t="s">
        <v>173</v>
      </c>
    </row>
    <row r="10" spans="2:18" ht="42.6" x14ac:dyDescent="0.3">
      <c r="B10" s="11" t="s">
        <v>42</v>
      </c>
      <c r="C10" s="4" t="s">
        <v>118</v>
      </c>
      <c r="D10" s="12">
        <f>46.65*(0.502)</f>
        <v>23.418299999999999</v>
      </c>
      <c r="E10" s="6" t="s">
        <v>127</v>
      </c>
      <c r="F10" s="7">
        <v>63000</v>
      </c>
      <c r="G10" s="6" t="s">
        <v>100</v>
      </c>
      <c r="H10" s="21">
        <f t="shared" si="0"/>
        <v>1.4753528999999999</v>
      </c>
      <c r="I10" s="8">
        <v>2.5542000000000001E-8</v>
      </c>
      <c r="J10" s="8">
        <v>2.5542000000000001E-8</v>
      </c>
      <c r="K10" s="8">
        <v>1.2771000000000002E-7</v>
      </c>
      <c r="L10" s="8">
        <v>1.2771000000000002E-7</v>
      </c>
      <c r="M10" s="8">
        <v>2.5541999999999997E-9</v>
      </c>
      <c r="N10" s="8">
        <v>2.5541999999999997E-9</v>
      </c>
      <c r="O10" s="8">
        <v>2.5541999999999997E-9</v>
      </c>
      <c r="P10" s="9">
        <v>2.5541999999999997E-9</v>
      </c>
      <c r="Q10" s="5">
        <v>2.2411459459459466E-6</v>
      </c>
      <c r="R10" s="11" t="s">
        <v>128</v>
      </c>
    </row>
  </sheetData>
  <mergeCells count="10">
    <mergeCell ref="Q2:Q4"/>
    <mergeCell ref="R2:R4"/>
    <mergeCell ref="I3:L3"/>
    <mergeCell ref="M3:P3"/>
    <mergeCell ref="B2:B4"/>
    <mergeCell ref="C2:C4"/>
    <mergeCell ref="D2:E3"/>
    <mergeCell ref="F2:G3"/>
    <mergeCell ref="H2:H3"/>
    <mergeCell ref="I2:P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DA4F4-6D39-4BC7-B3DD-E7535B4FA5A1}">
  <sheetPr>
    <tabColor rgb="FFFFC000"/>
  </sheetPr>
  <dimension ref="B2:J30"/>
  <sheetViews>
    <sheetView showGridLines="0" zoomScale="90" zoomScaleNormal="90" workbookViewId="0">
      <selection activeCell="C14" sqref="C14"/>
    </sheetView>
  </sheetViews>
  <sheetFormatPr defaultRowHeight="14.4" x14ac:dyDescent="0.3"/>
  <cols>
    <col min="1" max="1" width="4.44140625" customWidth="1"/>
    <col min="2" max="2" width="25" customWidth="1"/>
    <col min="3" max="3" width="51.6640625" customWidth="1"/>
    <col min="4" max="4" width="11.88671875" customWidth="1"/>
    <col min="5" max="5" width="12.109375" customWidth="1"/>
    <col min="6" max="6" width="12.33203125" customWidth="1"/>
    <col min="7" max="7" width="11.109375" customWidth="1"/>
    <col min="8" max="8" width="14.44140625" customWidth="1"/>
    <col min="9" max="9" width="14.6640625" customWidth="1"/>
    <col min="10" max="10" width="15.44140625" customWidth="1"/>
    <col min="11" max="11" width="20.109375" customWidth="1"/>
    <col min="12" max="12" width="132.6640625" customWidth="1"/>
  </cols>
  <sheetData>
    <row r="2" spans="2:10" ht="15.6" x14ac:dyDescent="0.3">
      <c r="B2" s="20" t="s">
        <v>187</v>
      </c>
    </row>
    <row r="3" spans="2:10" ht="31.2" customHeight="1" x14ac:dyDescent="0.3">
      <c r="B3" s="191" t="s">
        <v>188</v>
      </c>
      <c r="C3" s="194" t="s">
        <v>189</v>
      </c>
      <c r="D3" s="188" t="s">
        <v>190</v>
      </c>
      <c r="E3" s="189"/>
      <c r="F3" s="189"/>
      <c r="G3" s="189"/>
      <c r="H3" s="189"/>
      <c r="I3" s="190"/>
      <c r="J3" s="72" t="s">
        <v>191</v>
      </c>
    </row>
    <row r="4" spans="2:10" ht="15.6" customHeight="1" x14ac:dyDescent="0.3">
      <c r="B4" s="192"/>
      <c r="C4" s="195"/>
      <c r="D4" s="188" t="s">
        <v>192</v>
      </c>
      <c r="E4" s="190"/>
      <c r="F4" s="188" t="s">
        <v>193</v>
      </c>
      <c r="G4" s="190"/>
      <c r="H4" s="188" t="s">
        <v>194</v>
      </c>
      <c r="I4" s="190"/>
      <c r="J4" s="119"/>
    </row>
    <row r="5" spans="2:10" x14ac:dyDescent="0.3">
      <c r="B5" s="193"/>
      <c r="C5" s="196"/>
      <c r="D5" s="73" t="s">
        <v>32</v>
      </c>
      <c r="E5" s="73" t="s">
        <v>195</v>
      </c>
      <c r="F5" s="73" t="s">
        <v>32</v>
      </c>
      <c r="G5" s="73" t="s">
        <v>195</v>
      </c>
      <c r="H5" s="73" t="s">
        <v>32</v>
      </c>
      <c r="I5" s="73" t="s">
        <v>195</v>
      </c>
      <c r="J5" s="73" t="s">
        <v>196</v>
      </c>
    </row>
    <row r="6" spans="2:10" hidden="1" x14ac:dyDescent="0.3">
      <c r="B6" s="74" t="s">
        <v>197</v>
      </c>
      <c r="C6" s="75" t="s">
        <v>48</v>
      </c>
      <c r="D6" s="76">
        <f>1198.86/1000</f>
        <v>1.1988599999999998</v>
      </c>
      <c r="E6" s="11" t="s">
        <v>51</v>
      </c>
      <c r="F6" s="77">
        <f>41.27/1000000</f>
        <v>4.1270000000000003E-5</v>
      </c>
      <c r="G6" s="78" t="s">
        <v>51</v>
      </c>
      <c r="H6" s="77">
        <f>21.46/1000000</f>
        <v>2.1460000000000001E-5</v>
      </c>
      <c r="I6" s="78" t="s">
        <v>51</v>
      </c>
      <c r="J6" s="79">
        <v>50</v>
      </c>
    </row>
    <row r="7" spans="2:10" hidden="1" x14ac:dyDescent="0.3">
      <c r="B7" s="74" t="s">
        <v>197</v>
      </c>
      <c r="C7" s="75" t="s">
        <v>198</v>
      </c>
      <c r="D7" s="76">
        <f>1339.89/1000</f>
        <v>1.33989</v>
      </c>
      <c r="E7" s="11" t="s">
        <v>51</v>
      </c>
      <c r="F7" s="77">
        <f>998.83/1000000</f>
        <v>9.9883000000000003E-4</v>
      </c>
      <c r="G7" s="78" t="s">
        <v>51</v>
      </c>
      <c r="H7" s="77">
        <f>1000/1000000</f>
        <v>1E-3</v>
      </c>
      <c r="I7" s="78" t="s">
        <v>51</v>
      </c>
      <c r="J7" s="79">
        <v>50</v>
      </c>
    </row>
    <row r="8" spans="2:10" x14ac:dyDescent="0.3">
      <c r="B8" s="104" t="s">
        <v>46</v>
      </c>
      <c r="C8" s="105" t="s">
        <v>199</v>
      </c>
      <c r="D8" s="106">
        <f>202.11/1000</f>
        <v>0.20211000000000001</v>
      </c>
      <c r="E8" s="107" t="s">
        <v>51</v>
      </c>
      <c r="F8" s="108">
        <f>27.95/1000000</f>
        <v>2.7949999999999998E-5</v>
      </c>
      <c r="G8" s="107" t="s">
        <v>51</v>
      </c>
      <c r="H8" s="108">
        <f>3.76/1000000</f>
        <v>3.7599999999999996E-6</v>
      </c>
      <c r="I8" s="107" t="s">
        <v>51</v>
      </c>
      <c r="J8" s="109">
        <v>1.6</v>
      </c>
    </row>
    <row r="9" spans="2:10" x14ac:dyDescent="0.3">
      <c r="B9" s="104" t="s">
        <v>46</v>
      </c>
      <c r="C9" s="105" t="s">
        <v>200</v>
      </c>
      <c r="D9" s="106">
        <f>140.6/1000</f>
        <v>0.1406</v>
      </c>
      <c r="E9" s="107" t="s">
        <v>51</v>
      </c>
      <c r="F9" s="108">
        <f>19.92/1000000</f>
        <v>1.9920000000000002E-5</v>
      </c>
      <c r="G9" s="107" t="s">
        <v>51</v>
      </c>
      <c r="H9" s="108">
        <f>2/1000000</f>
        <v>1.9999999999999999E-6</v>
      </c>
      <c r="I9" s="107" t="s">
        <v>51</v>
      </c>
      <c r="J9" s="109">
        <v>1.6</v>
      </c>
    </row>
    <row r="10" spans="2:10" x14ac:dyDescent="0.3">
      <c r="B10" s="104" t="s">
        <v>46</v>
      </c>
      <c r="C10" s="105" t="s">
        <v>48</v>
      </c>
      <c r="D10" s="106">
        <f>192.46/1000</f>
        <v>0.19246000000000002</v>
      </c>
      <c r="E10" s="107" t="s">
        <v>51</v>
      </c>
      <c r="F10" s="108">
        <f>1.19/1000000</f>
        <v>1.19E-6</v>
      </c>
      <c r="G10" s="107" t="s">
        <v>51</v>
      </c>
      <c r="H10" s="108">
        <f>7.15/1000000</f>
        <v>7.1500000000000002E-6</v>
      </c>
      <c r="I10" s="107" t="s">
        <v>51</v>
      </c>
      <c r="J10" s="109">
        <v>1.6</v>
      </c>
    </row>
    <row r="11" spans="2:10" x14ac:dyDescent="0.3">
      <c r="B11" s="104" t="s">
        <v>46</v>
      </c>
      <c r="C11" s="105" t="s">
        <v>201</v>
      </c>
      <c r="D11" s="106">
        <f>191.9/1000</f>
        <v>0.19190000000000002</v>
      </c>
      <c r="E11" s="107" t="s">
        <v>51</v>
      </c>
      <c r="F11" s="108">
        <f>34.4/1000000</f>
        <v>3.4399999999999996E-5</v>
      </c>
      <c r="G11" s="107" t="s">
        <v>51</v>
      </c>
      <c r="H11" s="108">
        <f>0/1000000</f>
        <v>0</v>
      </c>
      <c r="I11" s="107" t="s">
        <v>51</v>
      </c>
      <c r="J11" s="109">
        <v>1.6</v>
      </c>
    </row>
    <row r="12" spans="2:10" x14ac:dyDescent="0.3">
      <c r="B12" s="110" t="s">
        <v>54</v>
      </c>
      <c r="C12" s="111" t="s">
        <v>199</v>
      </c>
      <c r="D12" s="112">
        <f>260.23/1000</f>
        <v>0.26023000000000002</v>
      </c>
      <c r="E12" s="111" t="s">
        <v>51</v>
      </c>
      <c r="F12" s="113">
        <f>84.44/1000000</f>
        <v>8.4439999999999998E-5</v>
      </c>
      <c r="G12" s="111" t="s">
        <v>51</v>
      </c>
      <c r="H12" s="113">
        <f>8.95/1000000</f>
        <v>8.949999999999999E-6</v>
      </c>
      <c r="I12" s="111" t="s">
        <v>51</v>
      </c>
      <c r="J12" s="114">
        <v>2</v>
      </c>
    </row>
    <row r="13" spans="2:10" x14ac:dyDescent="0.3">
      <c r="B13" s="110" t="s">
        <v>54</v>
      </c>
      <c r="C13" s="111" t="s">
        <v>55</v>
      </c>
      <c r="D13" s="112">
        <f>229.8/1000</f>
        <v>0.2298</v>
      </c>
      <c r="E13" s="111" t="s">
        <v>51</v>
      </c>
      <c r="F13" s="113">
        <f>2.87/1000000</f>
        <v>2.8700000000000001E-6</v>
      </c>
      <c r="G13" s="111" t="s">
        <v>51</v>
      </c>
      <c r="H13" s="113">
        <f>6.3/1000000</f>
        <v>6.2999999999999998E-6</v>
      </c>
      <c r="I13" s="111" t="s">
        <v>51</v>
      </c>
      <c r="J13" s="114">
        <v>2</v>
      </c>
    </row>
    <row r="14" spans="2:10" x14ac:dyDescent="0.3">
      <c r="B14" s="115" t="s">
        <v>56</v>
      </c>
      <c r="C14" s="107" t="s">
        <v>48</v>
      </c>
      <c r="D14" s="116">
        <f>559.58/1000</f>
        <v>0.55958000000000008</v>
      </c>
      <c r="E14" s="107" t="s">
        <v>51</v>
      </c>
      <c r="F14" s="117">
        <f>19.19/1000000</f>
        <v>1.9190000000000001E-5</v>
      </c>
      <c r="G14" s="107" t="s">
        <v>51</v>
      </c>
      <c r="H14" s="140">
        <f>24.86/1000000</f>
        <v>2.4859999999999999E-5</v>
      </c>
      <c r="I14" s="107" t="s">
        <v>51</v>
      </c>
      <c r="J14" s="118">
        <v>2</v>
      </c>
    </row>
    <row r="15" spans="2:10" x14ac:dyDescent="0.3">
      <c r="B15" s="80"/>
      <c r="C15" s="80"/>
      <c r="D15" s="80"/>
      <c r="E15" s="80"/>
      <c r="F15" s="80"/>
      <c r="G15" s="80"/>
      <c r="H15" s="80"/>
      <c r="I15" s="80"/>
      <c r="J15" s="80"/>
    </row>
    <row r="16" spans="2:10" x14ac:dyDescent="0.3">
      <c r="B16" s="81" t="s">
        <v>202</v>
      </c>
      <c r="C16" s="80"/>
      <c r="D16" s="80"/>
      <c r="E16" s="80"/>
      <c r="F16" s="80"/>
      <c r="G16" s="80"/>
      <c r="H16" s="80"/>
      <c r="I16" s="80"/>
      <c r="J16" s="80"/>
    </row>
    <row r="17" spans="2:10" ht="15.6" customHeight="1" x14ac:dyDescent="0.3">
      <c r="B17" s="191" t="s">
        <v>203</v>
      </c>
      <c r="C17" s="194" t="s">
        <v>204</v>
      </c>
      <c r="D17" s="194" t="s">
        <v>205</v>
      </c>
      <c r="E17" s="188" t="s">
        <v>206</v>
      </c>
      <c r="F17" s="189"/>
      <c r="G17" s="189"/>
      <c r="H17" s="189"/>
      <c r="I17" s="189"/>
      <c r="J17" s="190"/>
    </row>
    <row r="18" spans="2:10" ht="15.6" customHeight="1" x14ac:dyDescent="0.3">
      <c r="B18" s="192"/>
      <c r="C18" s="195"/>
      <c r="D18" s="195"/>
      <c r="E18" s="188" t="s">
        <v>192</v>
      </c>
      <c r="F18" s="190"/>
      <c r="G18" s="188" t="s">
        <v>193</v>
      </c>
      <c r="H18" s="190"/>
      <c r="I18" s="188" t="s">
        <v>194</v>
      </c>
      <c r="J18" s="190"/>
    </row>
    <row r="19" spans="2:10" x14ac:dyDescent="0.3">
      <c r="B19" s="192"/>
      <c r="C19" s="195"/>
      <c r="D19" s="195"/>
      <c r="E19" s="72" t="s">
        <v>32</v>
      </c>
      <c r="F19" s="72" t="s">
        <v>195</v>
      </c>
      <c r="G19" s="72" t="s">
        <v>32</v>
      </c>
      <c r="H19" s="72" t="s">
        <v>195</v>
      </c>
      <c r="I19" s="72" t="s">
        <v>32</v>
      </c>
      <c r="J19" s="72" t="s">
        <v>195</v>
      </c>
    </row>
    <row r="20" spans="2:10" x14ac:dyDescent="0.3">
      <c r="B20" s="82" t="s">
        <v>207</v>
      </c>
      <c r="C20" s="83" t="s">
        <v>208</v>
      </c>
      <c r="D20" s="83" t="s">
        <v>118</v>
      </c>
      <c r="E20" s="84">
        <v>2.6509464</v>
      </c>
      <c r="F20" s="83" t="s">
        <v>62</v>
      </c>
      <c r="G20" s="85">
        <v>1.293948432E-11</v>
      </c>
      <c r="H20" s="83" t="s">
        <v>62</v>
      </c>
      <c r="I20" s="85">
        <v>7.7636905919999992E-13</v>
      </c>
      <c r="J20" s="83" t="s">
        <v>62</v>
      </c>
    </row>
    <row r="21" spans="2:10" x14ac:dyDescent="0.3">
      <c r="B21" s="82" t="s">
        <v>207</v>
      </c>
      <c r="C21" s="83" t="s">
        <v>139</v>
      </c>
      <c r="D21" s="83" t="s">
        <v>118</v>
      </c>
      <c r="E21" s="84">
        <v>1.4113916666666667E-3</v>
      </c>
      <c r="F21" s="83" t="s">
        <v>62</v>
      </c>
      <c r="G21" s="85">
        <v>6.6861620833333319E-15</v>
      </c>
      <c r="H21" s="83" t="s">
        <v>62</v>
      </c>
      <c r="I21" s="85">
        <v>4.0116972499999987E-16</v>
      </c>
      <c r="J21" s="83" t="s">
        <v>62</v>
      </c>
    </row>
    <row r="22" spans="2:10" x14ac:dyDescent="0.3">
      <c r="B22" s="82" t="s">
        <v>207</v>
      </c>
      <c r="C22" s="83" t="s">
        <v>130</v>
      </c>
      <c r="D22" s="83" t="s">
        <v>209</v>
      </c>
      <c r="E22" s="84">
        <v>2.4295207639999994</v>
      </c>
      <c r="F22" s="83" t="s">
        <v>62</v>
      </c>
      <c r="G22" s="85">
        <v>0</v>
      </c>
      <c r="H22" s="83" t="s">
        <v>62</v>
      </c>
      <c r="I22" s="85">
        <v>0</v>
      </c>
      <c r="J22" s="83" t="s">
        <v>62</v>
      </c>
    </row>
    <row r="23" spans="2:10" x14ac:dyDescent="0.3">
      <c r="B23" s="82" t="s">
        <v>207</v>
      </c>
      <c r="C23" s="83" t="s">
        <v>170</v>
      </c>
      <c r="D23" s="83" t="s">
        <v>62</v>
      </c>
      <c r="E23" s="82">
        <v>1.9116</v>
      </c>
      <c r="F23" s="83" t="s">
        <v>62</v>
      </c>
      <c r="G23" s="85">
        <v>7.2900000000000003E-9</v>
      </c>
      <c r="H23" s="83" t="s">
        <v>62</v>
      </c>
      <c r="I23" s="85">
        <v>4.3739999999999996E-10</v>
      </c>
      <c r="J23" s="83" t="s">
        <v>62</v>
      </c>
    </row>
    <row r="24" spans="2:10" x14ac:dyDescent="0.3">
      <c r="B24" s="82" t="s">
        <v>207</v>
      </c>
      <c r="C24" s="83" t="s">
        <v>172</v>
      </c>
      <c r="D24" s="83" t="s">
        <v>62</v>
      </c>
      <c r="E24" s="82">
        <v>1.9116</v>
      </c>
      <c r="F24" s="83" t="s">
        <v>62</v>
      </c>
      <c r="G24" s="85">
        <v>7.2900000000000003E-9</v>
      </c>
      <c r="H24" s="83" t="s">
        <v>62</v>
      </c>
      <c r="I24" s="85">
        <v>4.3739999999999996E-10</v>
      </c>
      <c r="J24" s="83" t="s">
        <v>62</v>
      </c>
    </row>
    <row r="25" spans="2:10" x14ac:dyDescent="0.3">
      <c r="B25" s="100" t="s">
        <v>207</v>
      </c>
      <c r="C25" s="101" t="s">
        <v>201</v>
      </c>
      <c r="D25" s="101" t="s">
        <v>118</v>
      </c>
      <c r="E25" s="103">
        <v>1.4753528999999999</v>
      </c>
      <c r="F25" s="101" t="s">
        <v>62</v>
      </c>
      <c r="G25" s="102">
        <v>0</v>
      </c>
      <c r="H25" s="101" t="s">
        <v>62</v>
      </c>
      <c r="I25" s="102">
        <v>0</v>
      </c>
      <c r="J25" s="101" t="s">
        <v>62</v>
      </c>
    </row>
    <row r="29" spans="2:10" x14ac:dyDescent="0.3">
      <c r="H29">
        <f>0.23316*1</f>
        <v>0.23316000000000001</v>
      </c>
    </row>
    <row r="30" spans="2:10" x14ac:dyDescent="0.3">
      <c r="H30">
        <f>0.0000025*1</f>
        <v>2.5000000000000002E-6</v>
      </c>
    </row>
  </sheetData>
  <mergeCells count="13">
    <mergeCell ref="E17:J17"/>
    <mergeCell ref="B3:B5"/>
    <mergeCell ref="C3:C5"/>
    <mergeCell ref="B17:B19"/>
    <mergeCell ref="C17:C19"/>
    <mergeCell ref="D17:D19"/>
    <mergeCell ref="I18:J18"/>
    <mergeCell ref="D3:I3"/>
    <mergeCell ref="D4:E4"/>
    <mergeCell ref="F4:G4"/>
    <mergeCell ref="H4:I4"/>
    <mergeCell ref="G18:H18"/>
    <mergeCell ref="E18:F1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E65FD-ADE1-415B-B1FE-BF35013D524D}">
  <sheetPr>
    <tabColor rgb="FFFFC000"/>
  </sheetPr>
  <dimension ref="B3:E6"/>
  <sheetViews>
    <sheetView showGridLines="0" workbookViewId="0">
      <selection activeCell="C19" sqref="C19"/>
    </sheetView>
  </sheetViews>
  <sheetFormatPr defaultRowHeight="14.4" x14ac:dyDescent="0.3"/>
  <cols>
    <col min="1" max="1" width="4.33203125" customWidth="1"/>
    <col min="2" max="2" width="17.88671875" customWidth="1"/>
    <col min="3" max="3" width="20.5546875" customWidth="1"/>
    <col min="4" max="4" width="31.5546875" customWidth="1"/>
    <col min="5" max="5" width="27.5546875" customWidth="1"/>
  </cols>
  <sheetData>
    <row r="3" spans="2:5" ht="31.2" x14ac:dyDescent="0.3">
      <c r="B3" s="71" t="s">
        <v>210</v>
      </c>
      <c r="C3" s="71" t="s">
        <v>211</v>
      </c>
      <c r="D3" s="71" t="s">
        <v>212</v>
      </c>
      <c r="E3" s="71" t="s">
        <v>213</v>
      </c>
    </row>
    <row r="4" spans="2:5" x14ac:dyDescent="0.3">
      <c r="B4" s="29">
        <v>2023</v>
      </c>
      <c r="C4" s="44">
        <v>7.6058434014390705E-2</v>
      </c>
      <c r="D4" s="41">
        <v>0.67699999999999994</v>
      </c>
      <c r="E4" s="43">
        <v>7.6058434014390707E-5</v>
      </c>
    </row>
    <row r="5" spans="2:5" x14ac:dyDescent="0.3">
      <c r="B5" s="29">
        <v>2024</v>
      </c>
      <c r="C5" s="44">
        <v>5.7711879401585384E-2</v>
      </c>
      <c r="D5" s="41">
        <v>0.72349999999999992</v>
      </c>
      <c r="E5" s="43">
        <v>5.7711879401585383E-5</v>
      </c>
    </row>
    <row r="6" spans="2:5" x14ac:dyDescent="0.3">
      <c r="B6" s="29">
        <v>2025</v>
      </c>
      <c r="C6" s="44">
        <v>4.6605293276581798E-2</v>
      </c>
      <c r="D6" s="42">
        <v>0.77</v>
      </c>
      <c r="E6" s="43">
        <v>4.6605293276581797E-5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3B2AC-48B3-4A85-8F75-75C22CD7273D}">
  <sheetPr>
    <tabColor rgb="FFFFC000"/>
  </sheetPr>
  <dimension ref="B1:J145"/>
  <sheetViews>
    <sheetView showGridLines="0" zoomScale="80" zoomScaleNormal="80" workbookViewId="0">
      <selection activeCell="J2" sqref="J2"/>
    </sheetView>
  </sheetViews>
  <sheetFormatPr defaultRowHeight="14.4" x14ac:dyDescent="0.3"/>
  <cols>
    <col min="2" max="2" width="46" customWidth="1"/>
    <col min="3" max="3" width="26.33203125" style="17" customWidth="1"/>
    <col min="4" max="4" width="16.33203125" bestFit="1" customWidth="1"/>
    <col min="5" max="5" width="13.109375" customWidth="1"/>
    <col min="6" max="6" width="36.109375" customWidth="1"/>
    <col min="7" max="7" width="25.109375" customWidth="1"/>
    <col min="8" max="8" width="18.33203125" customWidth="1"/>
    <col min="9" max="9" width="43.109375" hidden="1" customWidth="1"/>
    <col min="10" max="10" width="15.6640625" customWidth="1"/>
  </cols>
  <sheetData>
    <row r="1" spans="2:10" ht="47.4" customHeight="1" x14ac:dyDescent="0.3">
      <c r="F1" s="200" t="s">
        <v>214</v>
      </c>
      <c r="G1" s="201"/>
      <c r="H1" s="201"/>
      <c r="I1" s="201"/>
      <c r="J1" s="201"/>
    </row>
    <row r="2" spans="2:10" ht="63" customHeight="1" x14ac:dyDescent="0.3">
      <c r="B2" s="26" t="s">
        <v>215</v>
      </c>
      <c r="C2" s="27" t="s">
        <v>216</v>
      </c>
      <c r="D2" s="27" t="s">
        <v>217</v>
      </c>
      <c r="F2" s="67" t="s">
        <v>218</v>
      </c>
      <c r="G2" s="67" t="s">
        <v>219</v>
      </c>
      <c r="H2" s="67" t="s">
        <v>220</v>
      </c>
      <c r="I2" s="67" t="s">
        <v>221</v>
      </c>
      <c r="J2" s="67" t="s">
        <v>222</v>
      </c>
    </row>
    <row r="3" spans="2:10" ht="15.6" x14ac:dyDescent="0.3">
      <c r="B3" s="28" t="s">
        <v>223</v>
      </c>
      <c r="C3" s="29" t="s">
        <v>103</v>
      </c>
      <c r="D3" s="30">
        <v>28</v>
      </c>
      <c r="F3" s="52" t="s">
        <v>224</v>
      </c>
      <c r="G3" s="52" t="s">
        <v>225</v>
      </c>
      <c r="H3" s="52" t="s">
        <v>224</v>
      </c>
      <c r="I3" s="51"/>
      <c r="J3" s="53">
        <v>1</v>
      </c>
    </row>
    <row r="4" spans="2:10" ht="15.6" x14ac:dyDescent="0.3">
      <c r="B4" s="28" t="s">
        <v>226</v>
      </c>
      <c r="C4" s="29" t="s">
        <v>103</v>
      </c>
      <c r="D4" s="30">
        <v>265</v>
      </c>
      <c r="F4" s="52" t="s">
        <v>227</v>
      </c>
      <c r="G4" s="52" t="s">
        <v>228</v>
      </c>
      <c r="H4" s="52" t="s">
        <v>227</v>
      </c>
      <c r="I4" s="51"/>
      <c r="J4" s="53">
        <v>29.8</v>
      </c>
    </row>
    <row r="5" spans="2:10" ht="15.6" x14ac:dyDescent="0.3">
      <c r="B5" s="45" t="s">
        <v>229</v>
      </c>
      <c r="C5" s="46" t="s">
        <v>103</v>
      </c>
      <c r="D5" s="47">
        <v>23500</v>
      </c>
      <c r="F5" s="52" t="s">
        <v>230</v>
      </c>
      <c r="G5" s="52" t="s">
        <v>231</v>
      </c>
      <c r="H5" s="52" t="s">
        <v>230</v>
      </c>
      <c r="I5" s="51"/>
      <c r="J5" s="53">
        <v>273</v>
      </c>
    </row>
    <row r="6" spans="2:10" ht="15.6" x14ac:dyDescent="0.3">
      <c r="B6" s="45" t="s">
        <v>232</v>
      </c>
      <c r="C6" s="46" t="s">
        <v>103</v>
      </c>
      <c r="D6" s="47">
        <v>16100</v>
      </c>
      <c r="F6" s="52" t="s">
        <v>233</v>
      </c>
      <c r="G6" s="52" t="s">
        <v>234</v>
      </c>
      <c r="H6" s="52" t="s">
        <v>233</v>
      </c>
      <c r="I6" s="51"/>
      <c r="J6" s="53">
        <v>17400</v>
      </c>
    </row>
    <row r="7" spans="2:10" ht="15.6" x14ac:dyDescent="0.3">
      <c r="B7" s="28" t="s">
        <v>235</v>
      </c>
      <c r="C7" s="29" t="s">
        <v>103</v>
      </c>
      <c r="D7" s="30">
        <v>1</v>
      </c>
      <c r="F7" s="54" t="s">
        <v>68</v>
      </c>
      <c r="G7" s="54" t="s">
        <v>236</v>
      </c>
      <c r="H7" s="52" t="s">
        <v>237</v>
      </c>
      <c r="I7" s="52" t="s">
        <v>236</v>
      </c>
      <c r="J7" s="53">
        <v>24300</v>
      </c>
    </row>
    <row r="8" spans="2:10" x14ac:dyDescent="0.3">
      <c r="B8" s="28" t="s">
        <v>238</v>
      </c>
      <c r="C8" s="31" t="s">
        <v>239</v>
      </c>
      <c r="D8" s="30">
        <v>12400</v>
      </c>
      <c r="F8" s="54" t="s">
        <v>240</v>
      </c>
      <c r="G8" s="52" t="s">
        <v>240</v>
      </c>
      <c r="H8" s="52" t="s">
        <v>241</v>
      </c>
      <c r="I8" s="52"/>
      <c r="J8" s="53">
        <v>6230</v>
      </c>
    </row>
    <row r="9" spans="2:10" x14ac:dyDescent="0.3">
      <c r="B9" s="28" t="s">
        <v>242</v>
      </c>
      <c r="C9" s="31" t="s">
        <v>239</v>
      </c>
      <c r="D9" s="30">
        <v>677</v>
      </c>
      <c r="F9" s="54" t="s">
        <v>243</v>
      </c>
      <c r="G9" s="52" t="s">
        <v>243</v>
      </c>
      <c r="H9" s="52" t="s">
        <v>244</v>
      </c>
      <c r="I9" s="52"/>
      <c r="J9" s="53">
        <v>12500</v>
      </c>
    </row>
    <row r="10" spans="2:10" x14ac:dyDescent="0.3">
      <c r="B10" s="28" t="s">
        <v>245</v>
      </c>
      <c r="C10" s="31" t="s">
        <v>239</v>
      </c>
      <c r="D10" s="30">
        <v>116</v>
      </c>
      <c r="F10" s="54" t="s">
        <v>61</v>
      </c>
      <c r="G10" s="52" t="s">
        <v>61</v>
      </c>
      <c r="H10" s="52" t="s">
        <v>246</v>
      </c>
      <c r="I10" s="52"/>
      <c r="J10" s="53">
        <v>16200</v>
      </c>
    </row>
    <row r="11" spans="2:10" x14ac:dyDescent="0.3">
      <c r="B11" s="28" t="s">
        <v>247</v>
      </c>
      <c r="C11" s="31" t="s">
        <v>239</v>
      </c>
      <c r="D11" s="30">
        <v>317</v>
      </c>
      <c r="F11" s="54" t="s">
        <v>248</v>
      </c>
      <c r="G11" s="52" t="s">
        <v>248</v>
      </c>
      <c r="H11" s="52" t="s">
        <v>249</v>
      </c>
      <c r="I11" s="52"/>
      <c r="J11" s="53">
        <v>4620</v>
      </c>
    </row>
    <row r="12" spans="2:10" x14ac:dyDescent="0.3">
      <c r="B12" s="28" t="s">
        <v>250</v>
      </c>
      <c r="C12" s="31" t="s">
        <v>239</v>
      </c>
      <c r="D12" s="30">
        <v>1120</v>
      </c>
      <c r="F12" s="54" t="s">
        <v>251</v>
      </c>
      <c r="G12" s="52" t="s">
        <v>251</v>
      </c>
      <c r="H12" s="52" t="s">
        <v>252</v>
      </c>
      <c r="I12" s="52"/>
      <c r="J12" s="53">
        <v>3550</v>
      </c>
    </row>
    <row r="13" spans="2:10" x14ac:dyDescent="0.3">
      <c r="B13" s="28" t="s">
        <v>253</v>
      </c>
      <c r="C13" s="31" t="s">
        <v>239</v>
      </c>
      <c r="D13" s="30">
        <v>1300</v>
      </c>
      <c r="F13" s="54" t="s">
        <v>254</v>
      </c>
      <c r="G13" s="52" t="s">
        <v>254</v>
      </c>
      <c r="H13" s="52" t="s">
        <v>255</v>
      </c>
      <c r="I13" s="52"/>
      <c r="J13" s="53">
        <v>6520</v>
      </c>
    </row>
    <row r="14" spans="2:10" x14ac:dyDescent="0.3">
      <c r="B14" s="28" t="s">
        <v>256</v>
      </c>
      <c r="C14" s="31" t="s">
        <v>239</v>
      </c>
      <c r="D14" s="30">
        <v>328</v>
      </c>
      <c r="F14" s="54" t="s">
        <v>257</v>
      </c>
      <c r="G14" s="52" t="s">
        <v>257</v>
      </c>
      <c r="H14" s="52" t="s">
        <v>258</v>
      </c>
      <c r="I14" s="52"/>
      <c r="J14" s="53">
        <v>3930</v>
      </c>
    </row>
    <row r="15" spans="2:10" x14ac:dyDescent="0.3">
      <c r="B15" s="28" t="s">
        <v>259</v>
      </c>
      <c r="C15" s="31" t="s">
        <v>239</v>
      </c>
      <c r="D15" s="30">
        <v>4800</v>
      </c>
      <c r="F15" s="54" t="s">
        <v>260</v>
      </c>
      <c r="G15" s="52" t="s">
        <v>260</v>
      </c>
      <c r="H15" s="52" t="s">
        <v>261</v>
      </c>
      <c r="I15" s="52"/>
      <c r="J15" s="53">
        <v>9430</v>
      </c>
    </row>
    <row r="16" spans="2:10" x14ac:dyDescent="0.3">
      <c r="B16" s="28" t="s">
        <v>262</v>
      </c>
      <c r="C16" s="31" t="s">
        <v>239</v>
      </c>
      <c r="D16" s="30">
        <v>16</v>
      </c>
      <c r="F16" s="54" t="s">
        <v>263</v>
      </c>
      <c r="G16" s="52" t="s">
        <v>263</v>
      </c>
      <c r="H16" s="52" t="s">
        <v>264</v>
      </c>
      <c r="I16" s="52"/>
      <c r="J16" s="53">
        <v>7420</v>
      </c>
    </row>
    <row r="17" spans="2:10" x14ac:dyDescent="0.3">
      <c r="B17" s="28" t="s">
        <v>265</v>
      </c>
      <c r="C17" s="31" t="s">
        <v>239</v>
      </c>
      <c r="D17" s="30">
        <v>138</v>
      </c>
      <c r="F17" s="54" t="s">
        <v>266</v>
      </c>
      <c r="G17" s="52" t="s">
        <v>266</v>
      </c>
      <c r="H17" s="52" t="s">
        <v>267</v>
      </c>
      <c r="I17" s="52"/>
      <c r="J17" s="53">
        <v>9600</v>
      </c>
    </row>
    <row r="18" spans="2:10" x14ac:dyDescent="0.3">
      <c r="B18" s="28" t="s">
        <v>268</v>
      </c>
      <c r="C18" s="31" t="s">
        <v>239</v>
      </c>
      <c r="D18" s="30">
        <v>4</v>
      </c>
      <c r="F18" s="52" t="s">
        <v>269</v>
      </c>
      <c r="G18" s="52" t="s">
        <v>269</v>
      </c>
      <c r="H18" s="52" t="s">
        <v>270</v>
      </c>
      <c r="I18" s="52"/>
      <c r="J18" s="53">
        <v>58.3</v>
      </c>
    </row>
    <row r="19" spans="2:10" x14ac:dyDescent="0.3">
      <c r="B19" s="28" t="s">
        <v>271</v>
      </c>
      <c r="C19" s="31" t="s">
        <v>239</v>
      </c>
      <c r="D19" s="30">
        <v>3350</v>
      </c>
      <c r="F19" s="52" t="s">
        <v>272</v>
      </c>
      <c r="G19" s="52" t="s">
        <v>272</v>
      </c>
      <c r="H19" s="52" t="s">
        <v>273</v>
      </c>
      <c r="I19" s="52"/>
      <c r="J19" s="53">
        <v>56.4</v>
      </c>
    </row>
    <row r="20" spans="2:10" x14ac:dyDescent="0.3">
      <c r="B20" s="28" t="s">
        <v>274</v>
      </c>
      <c r="C20" s="31" t="s">
        <v>239</v>
      </c>
      <c r="D20" s="30">
        <v>1210</v>
      </c>
      <c r="F20" s="52" t="s">
        <v>275</v>
      </c>
      <c r="G20" s="52" t="s">
        <v>275</v>
      </c>
      <c r="H20" s="52" t="s">
        <v>276</v>
      </c>
      <c r="I20" s="52"/>
      <c r="J20" s="53">
        <v>245</v>
      </c>
    </row>
    <row r="21" spans="2:10" x14ac:dyDescent="0.3">
      <c r="B21" s="28" t="s">
        <v>277</v>
      </c>
      <c r="C21" s="31" t="s">
        <v>239</v>
      </c>
      <c r="D21" s="30">
        <v>1330</v>
      </c>
      <c r="F21" s="52" t="s">
        <v>278</v>
      </c>
      <c r="G21" s="52" t="s">
        <v>278</v>
      </c>
      <c r="H21" s="52" t="s">
        <v>279</v>
      </c>
      <c r="I21" s="52"/>
      <c r="J21" s="53">
        <v>90.4</v>
      </c>
    </row>
    <row r="22" spans="2:10" x14ac:dyDescent="0.3">
      <c r="B22" s="28" t="s">
        <v>280</v>
      </c>
      <c r="C22" s="31" t="s">
        <v>239</v>
      </c>
      <c r="D22" s="30">
        <v>8060</v>
      </c>
      <c r="F22" s="52" t="s">
        <v>281</v>
      </c>
      <c r="G22" s="52" t="s">
        <v>281</v>
      </c>
      <c r="H22" s="52" t="s">
        <v>282</v>
      </c>
      <c r="I22" s="52"/>
      <c r="J22" s="53">
        <v>395</v>
      </c>
    </row>
    <row r="23" spans="2:10" x14ac:dyDescent="0.3">
      <c r="B23" s="28" t="s">
        <v>283</v>
      </c>
      <c r="C23" s="31" t="s">
        <v>239</v>
      </c>
      <c r="D23" s="30">
        <v>716</v>
      </c>
      <c r="F23" s="52" t="s">
        <v>284</v>
      </c>
      <c r="G23" s="52" t="s">
        <v>284</v>
      </c>
      <c r="H23" s="52" t="s">
        <v>285</v>
      </c>
      <c r="I23" s="52"/>
      <c r="J23" s="53">
        <v>3.88</v>
      </c>
    </row>
    <row r="24" spans="2:10" x14ac:dyDescent="0.3">
      <c r="B24" s="28" t="s">
        <v>286</v>
      </c>
      <c r="C24" s="31" t="s">
        <v>239</v>
      </c>
      <c r="D24" s="30">
        <v>858</v>
      </c>
      <c r="F24" s="52" t="s">
        <v>287</v>
      </c>
      <c r="G24" s="52" t="s">
        <v>287</v>
      </c>
      <c r="H24" s="52" t="s">
        <v>288</v>
      </c>
      <c r="I24" s="52"/>
      <c r="J24" s="53">
        <v>0.45400000000000001</v>
      </c>
    </row>
    <row r="25" spans="2:10" x14ac:dyDescent="0.3">
      <c r="B25" s="28" t="s">
        <v>289</v>
      </c>
      <c r="C25" s="31" t="s">
        <v>239</v>
      </c>
      <c r="D25" s="30">
        <v>804</v>
      </c>
      <c r="F25" s="52" t="s">
        <v>290</v>
      </c>
      <c r="G25" s="52" t="s">
        <v>290</v>
      </c>
      <c r="H25" s="52" t="s">
        <v>291</v>
      </c>
      <c r="I25" s="52"/>
      <c r="J25" s="53">
        <v>0.501</v>
      </c>
    </row>
    <row r="26" spans="2:10" x14ac:dyDescent="0.3">
      <c r="B26" s="28" t="s">
        <v>292</v>
      </c>
      <c r="C26" s="31" t="s">
        <v>239</v>
      </c>
      <c r="D26" s="30">
        <v>1650</v>
      </c>
      <c r="F26" s="52" t="s">
        <v>293</v>
      </c>
      <c r="G26" s="52" t="s">
        <v>293</v>
      </c>
      <c r="H26" s="52" t="s">
        <v>294</v>
      </c>
      <c r="I26" s="52"/>
      <c r="J26" s="53">
        <v>597</v>
      </c>
    </row>
    <row r="27" spans="2:10" x14ac:dyDescent="0.3">
      <c r="B27" s="28" t="s">
        <v>295</v>
      </c>
      <c r="C27" s="31" t="s">
        <v>296</v>
      </c>
      <c r="D27" s="30">
        <v>6630</v>
      </c>
      <c r="F27" s="52" t="s">
        <v>297</v>
      </c>
      <c r="G27" s="52" t="s">
        <v>297</v>
      </c>
      <c r="H27" s="52" t="s">
        <v>298</v>
      </c>
      <c r="I27" s="52"/>
      <c r="J27" s="53">
        <v>2070</v>
      </c>
    </row>
    <row r="28" spans="2:10" ht="15" x14ac:dyDescent="0.3">
      <c r="B28" s="28" t="s">
        <v>299</v>
      </c>
      <c r="C28" s="31" t="s">
        <v>296</v>
      </c>
      <c r="D28" s="30">
        <v>11100</v>
      </c>
      <c r="F28" s="54" t="s">
        <v>300</v>
      </c>
      <c r="G28" s="52" t="s">
        <v>301</v>
      </c>
      <c r="H28" s="54" t="s">
        <v>302</v>
      </c>
      <c r="I28" s="52" t="s">
        <v>303</v>
      </c>
      <c r="J28" s="53">
        <v>3740</v>
      </c>
    </row>
    <row r="29" spans="2:10" x14ac:dyDescent="0.3">
      <c r="B29" s="28" t="s">
        <v>304</v>
      </c>
      <c r="C29" s="31" t="s">
        <v>296</v>
      </c>
      <c r="D29" s="30">
        <v>8900</v>
      </c>
      <c r="F29" s="52" t="s">
        <v>305</v>
      </c>
      <c r="G29" s="52" t="s">
        <v>305</v>
      </c>
      <c r="H29" s="52" t="s">
        <v>306</v>
      </c>
      <c r="I29" s="52"/>
      <c r="J29" s="53">
        <v>122</v>
      </c>
    </row>
    <row r="30" spans="2:10" x14ac:dyDescent="0.3">
      <c r="B30" s="28" t="s">
        <v>307</v>
      </c>
      <c r="C30" s="31" t="s">
        <v>296</v>
      </c>
      <c r="D30" s="30">
        <v>9540</v>
      </c>
      <c r="F30" s="52" t="s">
        <v>308</v>
      </c>
      <c r="G30" s="52" t="s">
        <v>308</v>
      </c>
      <c r="H30" s="52" t="s">
        <v>309</v>
      </c>
      <c r="I30" s="52"/>
      <c r="J30" s="53">
        <v>70.400000000000006</v>
      </c>
    </row>
    <row r="31" spans="2:10" x14ac:dyDescent="0.3">
      <c r="B31" s="28" t="s">
        <v>310</v>
      </c>
      <c r="C31" s="31" t="s">
        <v>296</v>
      </c>
      <c r="D31" s="30">
        <v>9200</v>
      </c>
      <c r="F31" s="52" t="s">
        <v>311</v>
      </c>
      <c r="G31" s="52" t="s">
        <v>311</v>
      </c>
      <c r="H31" s="52" t="s">
        <v>312</v>
      </c>
      <c r="I31" s="52"/>
      <c r="J31" s="53">
        <v>342</v>
      </c>
    </row>
    <row r="32" spans="2:10" x14ac:dyDescent="0.3">
      <c r="B32" s="28" t="s">
        <v>313</v>
      </c>
      <c r="C32" s="31" t="s">
        <v>296</v>
      </c>
      <c r="D32" s="30">
        <v>8550</v>
      </c>
      <c r="F32" s="52" t="s">
        <v>314</v>
      </c>
      <c r="G32" s="52" t="s">
        <v>314</v>
      </c>
      <c r="H32" s="52" t="s">
        <v>315</v>
      </c>
      <c r="I32" s="52"/>
      <c r="J32" s="53">
        <v>388</v>
      </c>
    </row>
    <row r="33" spans="2:10" ht="15" x14ac:dyDescent="0.3">
      <c r="B33" s="28" t="s">
        <v>316</v>
      </c>
      <c r="C33" s="31" t="s">
        <v>296</v>
      </c>
      <c r="D33" s="30">
        <v>7910</v>
      </c>
      <c r="F33" s="52" t="s">
        <v>317</v>
      </c>
      <c r="G33" s="52" t="s">
        <v>317</v>
      </c>
      <c r="H33" s="54" t="s">
        <v>318</v>
      </c>
      <c r="I33" s="54" t="s">
        <v>319</v>
      </c>
      <c r="J33" s="53">
        <v>1260</v>
      </c>
    </row>
    <row r="34" spans="2:10" ht="15" x14ac:dyDescent="0.3">
      <c r="B34" s="28" t="s">
        <v>320</v>
      </c>
      <c r="C34" s="31" t="s">
        <v>296</v>
      </c>
      <c r="D34" s="30">
        <v>7190</v>
      </c>
      <c r="F34" s="52" t="s">
        <v>321</v>
      </c>
      <c r="G34" s="52" t="s">
        <v>321</v>
      </c>
      <c r="H34" s="54" t="s">
        <v>322</v>
      </c>
      <c r="I34" s="54" t="s">
        <v>323</v>
      </c>
      <c r="J34" s="53">
        <v>1530</v>
      </c>
    </row>
    <row r="35" spans="2:10" ht="15.6" x14ac:dyDescent="0.3">
      <c r="B35" s="28" t="s">
        <v>324</v>
      </c>
      <c r="C35" s="31" t="s">
        <v>296</v>
      </c>
      <c r="D35" s="30">
        <v>17400</v>
      </c>
      <c r="F35" s="52" t="s">
        <v>325</v>
      </c>
      <c r="G35" s="52" t="s">
        <v>325</v>
      </c>
      <c r="H35" s="52" t="s">
        <v>326</v>
      </c>
      <c r="I35" s="52"/>
      <c r="J35" s="53">
        <v>46.6</v>
      </c>
    </row>
    <row r="36" spans="2:10" ht="15.6" x14ac:dyDescent="0.3">
      <c r="B36" s="28" t="s">
        <v>327</v>
      </c>
      <c r="C36" s="31" t="s">
        <v>296</v>
      </c>
      <c r="D36" s="30">
        <v>9200</v>
      </c>
      <c r="F36" s="52" t="s">
        <v>328</v>
      </c>
      <c r="G36" s="52" t="s">
        <v>328</v>
      </c>
      <c r="H36" s="52" t="s">
        <v>329</v>
      </c>
      <c r="I36" s="52"/>
      <c r="J36" s="53">
        <v>860</v>
      </c>
    </row>
    <row r="37" spans="2:10" x14ac:dyDescent="0.3">
      <c r="B37" s="120" t="s">
        <v>330</v>
      </c>
      <c r="C37" s="31" t="s">
        <v>331</v>
      </c>
      <c r="D37" s="30">
        <v>0</v>
      </c>
      <c r="F37" s="52" t="s">
        <v>332</v>
      </c>
      <c r="G37" s="52" t="s">
        <v>332</v>
      </c>
      <c r="H37" s="52" t="s">
        <v>333</v>
      </c>
      <c r="I37" s="52"/>
      <c r="J37" s="53">
        <v>2300</v>
      </c>
    </row>
    <row r="38" spans="2:10" ht="15" x14ac:dyDescent="0.3">
      <c r="B38" s="29" t="s">
        <v>334</v>
      </c>
      <c r="C38" s="31" t="s">
        <v>331</v>
      </c>
      <c r="D38" s="30">
        <v>16.12</v>
      </c>
      <c r="F38" s="52" t="s">
        <v>335</v>
      </c>
      <c r="G38" s="52" t="s">
        <v>335</v>
      </c>
      <c r="H38" s="52" t="s">
        <v>336</v>
      </c>
      <c r="I38" s="54" t="s">
        <v>337</v>
      </c>
      <c r="J38" s="53">
        <v>364</v>
      </c>
    </row>
    <row r="39" spans="2:10" ht="15" x14ac:dyDescent="0.3">
      <c r="B39" s="29" t="s">
        <v>338</v>
      </c>
      <c r="C39" s="31" t="s">
        <v>331</v>
      </c>
      <c r="D39" s="30">
        <v>13.64</v>
      </c>
      <c r="F39" s="52" t="s">
        <v>339</v>
      </c>
      <c r="G39" s="52" t="s">
        <v>339</v>
      </c>
      <c r="H39" s="52" t="s">
        <v>336</v>
      </c>
      <c r="I39" s="54" t="s">
        <v>340</v>
      </c>
      <c r="J39" s="53">
        <v>5810</v>
      </c>
    </row>
    <row r="40" spans="2:10" ht="15" x14ac:dyDescent="0.3">
      <c r="B40" s="29" t="s">
        <v>341</v>
      </c>
      <c r="C40" s="31" t="s">
        <v>331</v>
      </c>
      <c r="D40" s="30">
        <v>18.599999999999998</v>
      </c>
      <c r="F40" s="52" t="s">
        <v>342</v>
      </c>
      <c r="G40" s="52" t="s">
        <v>342</v>
      </c>
      <c r="H40" s="52" t="s">
        <v>343</v>
      </c>
      <c r="I40" s="54" t="s">
        <v>344</v>
      </c>
      <c r="J40" s="53">
        <v>21.5</v>
      </c>
    </row>
    <row r="41" spans="2:10" ht="15" x14ac:dyDescent="0.3">
      <c r="B41" s="29" t="s">
        <v>345</v>
      </c>
      <c r="C41" s="31" t="s">
        <v>331</v>
      </c>
      <c r="D41" s="30">
        <v>2100</v>
      </c>
      <c r="F41" s="52" t="s">
        <v>346</v>
      </c>
      <c r="G41" s="52" t="s">
        <v>346</v>
      </c>
      <c r="H41" s="52" t="s">
        <v>343</v>
      </c>
      <c r="I41" s="54" t="s">
        <v>347</v>
      </c>
      <c r="J41" s="53">
        <v>164</v>
      </c>
    </row>
    <row r="42" spans="2:10" ht="15" x14ac:dyDescent="0.3">
      <c r="B42" s="29" t="s">
        <v>348</v>
      </c>
      <c r="C42" s="31" t="s">
        <v>331</v>
      </c>
      <c r="D42" s="30">
        <v>1330</v>
      </c>
      <c r="F42" s="52" t="s">
        <v>349</v>
      </c>
      <c r="G42" s="52" t="s">
        <v>349</v>
      </c>
      <c r="H42" s="52" t="s">
        <v>350</v>
      </c>
      <c r="I42" s="54" t="s">
        <v>351</v>
      </c>
      <c r="J42" s="53">
        <v>4.84</v>
      </c>
    </row>
    <row r="43" spans="2:10" x14ac:dyDescent="0.3">
      <c r="B43" s="29" t="s">
        <v>352</v>
      </c>
      <c r="C43" s="31" t="s">
        <v>331</v>
      </c>
      <c r="D43" s="30">
        <v>1766</v>
      </c>
      <c r="F43" s="52" t="s">
        <v>353</v>
      </c>
      <c r="G43" s="52" t="s">
        <v>353</v>
      </c>
      <c r="H43" s="55" t="s">
        <v>354</v>
      </c>
      <c r="I43" s="52"/>
      <c r="J43" s="53">
        <v>160</v>
      </c>
    </row>
    <row r="44" spans="2:10" x14ac:dyDescent="0.3">
      <c r="B44" s="29" t="s">
        <v>355</v>
      </c>
      <c r="C44" s="31" t="s">
        <v>331</v>
      </c>
      <c r="D44" s="30">
        <v>3443.7000000000003</v>
      </c>
      <c r="F44" s="52" t="s">
        <v>356</v>
      </c>
      <c r="G44" s="52" t="s">
        <v>356</v>
      </c>
      <c r="H44" s="56" t="s">
        <v>357</v>
      </c>
      <c r="I44" s="52"/>
      <c r="J44" s="53">
        <v>1960</v>
      </c>
    </row>
    <row r="45" spans="2:10" x14ac:dyDescent="0.3">
      <c r="B45" s="29" t="s">
        <v>358</v>
      </c>
      <c r="C45" s="31" t="s">
        <v>331</v>
      </c>
      <c r="D45" s="30">
        <v>3921.6</v>
      </c>
      <c r="F45" s="52" t="s">
        <v>359</v>
      </c>
      <c r="G45" s="52" t="s">
        <v>359</v>
      </c>
      <c r="H45" s="52" t="s">
        <v>360</v>
      </c>
      <c r="I45" s="52"/>
      <c r="J45" s="53">
        <v>137</v>
      </c>
    </row>
    <row r="46" spans="2:10" x14ac:dyDescent="0.3">
      <c r="B46" s="29" t="s">
        <v>361</v>
      </c>
      <c r="C46" s="31" t="s">
        <v>331</v>
      </c>
      <c r="D46" s="30">
        <v>0</v>
      </c>
      <c r="F46" s="52" t="s">
        <v>362</v>
      </c>
      <c r="G46" s="52" t="s">
        <v>362</v>
      </c>
      <c r="H46" s="52" t="s">
        <v>363</v>
      </c>
      <c r="I46" s="52"/>
      <c r="J46" s="53">
        <v>568</v>
      </c>
    </row>
    <row r="47" spans="2:10" x14ac:dyDescent="0.3">
      <c r="B47" s="29" t="s">
        <v>364</v>
      </c>
      <c r="C47" s="31" t="s">
        <v>331</v>
      </c>
      <c r="D47" s="30">
        <v>2107</v>
      </c>
      <c r="F47" s="52" t="s">
        <v>365</v>
      </c>
      <c r="G47" s="52" t="s">
        <v>365</v>
      </c>
      <c r="H47" s="52" t="s">
        <v>366</v>
      </c>
      <c r="I47" s="52"/>
      <c r="J47" s="53">
        <v>2980</v>
      </c>
    </row>
    <row r="48" spans="2:10" ht="15" x14ac:dyDescent="0.3">
      <c r="B48" s="29" t="s">
        <v>367</v>
      </c>
      <c r="C48" s="31" t="s">
        <v>331</v>
      </c>
      <c r="D48" s="30">
        <v>2803.5</v>
      </c>
      <c r="F48" s="52" t="s">
        <v>368</v>
      </c>
      <c r="G48" s="52" t="s">
        <v>369</v>
      </c>
      <c r="H48" s="52" t="s">
        <v>370</v>
      </c>
      <c r="I48" s="52" t="s">
        <v>371</v>
      </c>
      <c r="J48" s="53">
        <v>3600</v>
      </c>
    </row>
    <row r="49" spans="2:10" x14ac:dyDescent="0.3">
      <c r="B49" s="29" t="s">
        <v>372</v>
      </c>
      <c r="C49" s="31" t="s">
        <v>331</v>
      </c>
      <c r="D49" s="30">
        <v>1773.85</v>
      </c>
      <c r="F49" s="68" t="s">
        <v>373</v>
      </c>
      <c r="G49" s="68" t="s">
        <v>374</v>
      </c>
      <c r="H49" s="68" t="s">
        <v>375</v>
      </c>
      <c r="J49" s="69">
        <v>14600</v>
      </c>
    </row>
    <row r="50" spans="2:10" ht="15" x14ac:dyDescent="0.3">
      <c r="B50" s="29" t="s">
        <v>376</v>
      </c>
      <c r="C50" s="31" t="s">
        <v>331</v>
      </c>
      <c r="D50" s="30">
        <v>1627.25</v>
      </c>
      <c r="F50" s="52" t="s">
        <v>377</v>
      </c>
      <c r="G50" s="52" t="s">
        <v>377</v>
      </c>
      <c r="H50" s="52" t="s">
        <v>378</v>
      </c>
      <c r="I50" s="54" t="s">
        <v>379</v>
      </c>
      <c r="J50" s="53">
        <v>1350</v>
      </c>
    </row>
    <row r="51" spans="2:10" ht="15" x14ac:dyDescent="0.3">
      <c r="B51" s="29" t="s">
        <v>380</v>
      </c>
      <c r="C51" s="31" t="s">
        <v>331</v>
      </c>
      <c r="D51" s="30">
        <v>1551.75</v>
      </c>
      <c r="F51" s="52" t="s">
        <v>381</v>
      </c>
      <c r="G51" s="52" t="s">
        <v>381</v>
      </c>
      <c r="H51" s="52" t="s">
        <v>382</v>
      </c>
      <c r="I51" s="54" t="s">
        <v>383</v>
      </c>
      <c r="J51" s="53">
        <v>1500</v>
      </c>
    </row>
    <row r="52" spans="2:10" ht="15" x14ac:dyDescent="0.3">
      <c r="B52" s="29" t="s">
        <v>384</v>
      </c>
      <c r="C52" s="31" t="s">
        <v>331</v>
      </c>
      <c r="D52" s="30">
        <v>1824.5</v>
      </c>
      <c r="F52" s="52" t="s">
        <v>385</v>
      </c>
      <c r="G52" s="52" t="s">
        <v>385</v>
      </c>
      <c r="H52" s="52" t="s">
        <v>386</v>
      </c>
      <c r="I52" s="54" t="s">
        <v>387</v>
      </c>
      <c r="J52" s="53">
        <v>8690</v>
      </c>
    </row>
    <row r="53" spans="2:10" ht="15" x14ac:dyDescent="0.3">
      <c r="B53" s="29" t="s">
        <v>388</v>
      </c>
      <c r="C53" s="31" t="s">
        <v>331</v>
      </c>
      <c r="D53" s="30">
        <v>2301.2000000000003</v>
      </c>
      <c r="F53" s="52" t="s">
        <v>389</v>
      </c>
      <c r="G53" s="52" t="s">
        <v>389</v>
      </c>
      <c r="H53" s="52" t="s">
        <v>390</v>
      </c>
      <c r="I53" s="54" t="s">
        <v>391</v>
      </c>
      <c r="J53" s="53">
        <v>787</v>
      </c>
    </row>
    <row r="54" spans="2:10" x14ac:dyDescent="0.3">
      <c r="B54" s="29" t="s">
        <v>392</v>
      </c>
      <c r="C54" s="31" t="s">
        <v>331</v>
      </c>
      <c r="D54" s="30">
        <v>0</v>
      </c>
      <c r="F54" s="52" t="s">
        <v>393</v>
      </c>
      <c r="G54" s="52" t="s">
        <v>393</v>
      </c>
      <c r="H54" s="52" t="s">
        <v>394</v>
      </c>
      <c r="I54" s="52"/>
      <c r="J54" s="53">
        <v>4550</v>
      </c>
    </row>
    <row r="55" spans="2:10" x14ac:dyDescent="0.3">
      <c r="B55" s="29" t="s">
        <v>395</v>
      </c>
      <c r="C55" s="31" t="s">
        <v>331</v>
      </c>
      <c r="D55" s="30">
        <v>0</v>
      </c>
      <c r="F55" s="52" t="s">
        <v>396</v>
      </c>
      <c r="G55" s="52" t="s">
        <v>396</v>
      </c>
      <c r="H55" s="52" t="s">
        <v>397</v>
      </c>
      <c r="I55" s="52"/>
      <c r="J55" s="53">
        <v>255</v>
      </c>
    </row>
    <row r="56" spans="2:10" x14ac:dyDescent="0.3">
      <c r="B56" s="29" t="s">
        <v>398</v>
      </c>
      <c r="C56" s="31" t="s">
        <v>331</v>
      </c>
      <c r="D56" s="30">
        <v>2087.5</v>
      </c>
      <c r="F56" s="52" t="s">
        <v>399</v>
      </c>
      <c r="G56" s="52" t="s">
        <v>399</v>
      </c>
      <c r="H56" s="52" t="s">
        <v>400</v>
      </c>
      <c r="I56" s="52"/>
      <c r="J56" s="53">
        <v>325</v>
      </c>
    </row>
    <row r="57" spans="2:10" ht="15" x14ac:dyDescent="0.3">
      <c r="B57" s="29" t="s">
        <v>401</v>
      </c>
      <c r="C57" s="31" t="s">
        <v>331</v>
      </c>
      <c r="D57" s="30">
        <v>2228.75</v>
      </c>
      <c r="F57" s="52" t="s">
        <v>402</v>
      </c>
      <c r="G57" s="52" t="s">
        <v>402</v>
      </c>
      <c r="H57" s="52" t="s">
        <v>403</v>
      </c>
      <c r="I57" s="54" t="s">
        <v>404</v>
      </c>
      <c r="J57" s="53">
        <v>962</v>
      </c>
    </row>
    <row r="58" spans="2:10" x14ac:dyDescent="0.3">
      <c r="B58" s="29" t="s">
        <v>405</v>
      </c>
      <c r="C58" s="31" t="s">
        <v>331</v>
      </c>
      <c r="D58" s="30">
        <v>13.64</v>
      </c>
      <c r="F58" s="52" t="s">
        <v>406</v>
      </c>
      <c r="G58" s="52" t="s">
        <v>406</v>
      </c>
      <c r="H58" s="52" t="s">
        <v>407</v>
      </c>
      <c r="I58" s="52"/>
      <c r="J58" s="53">
        <v>79.400000000000006</v>
      </c>
    </row>
    <row r="59" spans="2:10" ht="15" x14ac:dyDescent="0.3">
      <c r="B59" s="29" t="s">
        <v>408</v>
      </c>
      <c r="C59" s="31" t="s">
        <v>331</v>
      </c>
      <c r="D59" s="30">
        <v>3.7199999999999998</v>
      </c>
      <c r="F59" s="52" t="s">
        <v>409</v>
      </c>
      <c r="G59" s="52" t="s">
        <v>409</v>
      </c>
      <c r="H59" s="52" t="s">
        <v>410</v>
      </c>
      <c r="I59" s="54" t="s">
        <v>411</v>
      </c>
      <c r="J59" s="53">
        <v>771</v>
      </c>
    </row>
    <row r="60" spans="2:10" ht="15" x14ac:dyDescent="0.3">
      <c r="B60" s="29" t="s">
        <v>412</v>
      </c>
      <c r="C60" s="31" t="s">
        <v>331</v>
      </c>
      <c r="D60" s="30">
        <v>441.5</v>
      </c>
      <c r="F60" s="52" t="s">
        <v>413</v>
      </c>
      <c r="G60" s="52" t="s">
        <v>413</v>
      </c>
      <c r="H60" s="52" t="s">
        <v>414</v>
      </c>
      <c r="I60" s="54" t="s">
        <v>415</v>
      </c>
      <c r="J60" s="53">
        <v>914</v>
      </c>
    </row>
    <row r="61" spans="2:10" ht="15" x14ac:dyDescent="0.3">
      <c r="B61" s="29" t="s">
        <v>416</v>
      </c>
      <c r="C61" s="31" t="s">
        <v>331</v>
      </c>
      <c r="D61" s="30">
        <v>2053.1</v>
      </c>
      <c r="F61" s="52" t="s">
        <v>417</v>
      </c>
      <c r="G61" s="52" t="s">
        <v>417</v>
      </c>
      <c r="H61" s="52" t="s">
        <v>418</v>
      </c>
      <c r="I61" s="54" t="s">
        <v>419</v>
      </c>
      <c r="J61" s="53">
        <v>135</v>
      </c>
    </row>
    <row r="62" spans="2:10" ht="15" x14ac:dyDescent="0.3">
      <c r="B62" s="29" t="s">
        <v>420</v>
      </c>
      <c r="C62" s="31" t="s">
        <v>331</v>
      </c>
      <c r="D62" s="30">
        <v>0</v>
      </c>
      <c r="F62" s="52" t="s">
        <v>421</v>
      </c>
      <c r="G62" s="52" t="s">
        <v>421</v>
      </c>
      <c r="H62" s="57" t="s">
        <v>422</v>
      </c>
      <c r="I62" s="54" t="s">
        <v>423</v>
      </c>
      <c r="J62" s="53">
        <v>1600</v>
      </c>
    </row>
    <row r="63" spans="2:10" ht="15" x14ac:dyDescent="0.3">
      <c r="B63" s="29" t="s">
        <v>424</v>
      </c>
      <c r="C63" s="31" t="s">
        <v>331</v>
      </c>
      <c r="D63" s="30">
        <v>0</v>
      </c>
      <c r="F63" s="52" t="s">
        <v>425</v>
      </c>
      <c r="G63" s="52" t="s">
        <v>425</v>
      </c>
      <c r="H63" s="52" t="s">
        <v>426</v>
      </c>
      <c r="I63" s="54" t="s">
        <v>427</v>
      </c>
      <c r="J63" s="53">
        <v>7380</v>
      </c>
    </row>
    <row r="64" spans="2:10" ht="15" x14ac:dyDescent="0.3">
      <c r="B64" s="29" t="s">
        <v>428</v>
      </c>
      <c r="C64" s="31" t="s">
        <v>331</v>
      </c>
      <c r="D64" s="30">
        <v>22.32</v>
      </c>
      <c r="F64" s="52" t="s">
        <v>429</v>
      </c>
      <c r="G64" s="52" t="s">
        <v>429</v>
      </c>
      <c r="H64" s="52" t="s">
        <v>430</v>
      </c>
      <c r="I64" s="54" t="s">
        <v>431</v>
      </c>
      <c r="J64" s="53">
        <v>12400</v>
      </c>
    </row>
    <row r="65" spans="2:10" ht="15" x14ac:dyDescent="0.3">
      <c r="B65" s="29" t="s">
        <v>70</v>
      </c>
      <c r="C65" s="31" t="s">
        <v>331</v>
      </c>
      <c r="D65" s="30">
        <v>93</v>
      </c>
      <c r="F65" s="52" t="s">
        <v>432</v>
      </c>
      <c r="G65" s="52" t="s">
        <v>432</v>
      </c>
      <c r="H65" s="52" t="s">
        <v>433</v>
      </c>
      <c r="I65" s="54" t="s">
        <v>434</v>
      </c>
      <c r="J65" s="53">
        <v>9290</v>
      </c>
    </row>
    <row r="66" spans="2:10" ht="15" x14ac:dyDescent="0.3">
      <c r="B66" s="29" t="s">
        <v>435</v>
      </c>
      <c r="C66" s="31" t="s">
        <v>331</v>
      </c>
      <c r="D66" s="30">
        <v>843.69999999999993</v>
      </c>
      <c r="F66" s="52" t="s">
        <v>436</v>
      </c>
      <c r="G66" s="52" t="s">
        <v>436</v>
      </c>
      <c r="H66" s="54" t="s">
        <v>437</v>
      </c>
      <c r="I66" s="52" t="s">
        <v>438</v>
      </c>
      <c r="J66" s="53">
        <v>10000</v>
      </c>
    </row>
    <row r="67" spans="2:10" ht="15" x14ac:dyDescent="0.3">
      <c r="B67" s="29" t="s">
        <v>439</v>
      </c>
      <c r="C67" s="31" t="s">
        <v>331</v>
      </c>
      <c r="D67" s="30">
        <v>2346</v>
      </c>
      <c r="F67" s="52" t="s">
        <v>440</v>
      </c>
      <c r="G67" s="52" t="s">
        <v>440</v>
      </c>
      <c r="H67" s="57" t="s">
        <v>441</v>
      </c>
      <c r="I67" s="54" t="s">
        <v>442</v>
      </c>
      <c r="J67" s="53">
        <v>9220</v>
      </c>
    </row>
    <row r="68" spans="2:10" ht="15" x14ac:dyDescent="0.3">
      <c r="B68" s="29" t="s">
        <v>443</v>
      </c>
      <c r="C68" s="31" t="s">
        <v>331</v>
      </c>
      <c r="D68" s="30">
        <v>3026.69</v>
      </c>
      <c r="F68" s="52" t="s">
        <v>444</v>
      </c>
      <c r="G68" s="52" t="s">
        <v>444</v>
      </c>
      <c r="H68" s="57" t="s">
        <v>445</v>
      </c>
      <c r="I68" s="54" t="s">
        <v>446</v>
      </c>
      <c r="J68" s="53">
        <v>8620</v>
      </c>
    </row>
    <row r="69" spans="2:10" ht="15" x14ac:dyDescent="0.3">
      <c r="B69" s="29" t="s">
        <v>447</v>
      </c>
      <c r="C69" s="31" t="s">
        <v>331</v>
      </c>
      <c r="D69" s="30">
        <v>1809.3400000000001</v>
      </c>
      <c r="F69" s="52" t="s">
        <v>448</v>
      </c>
      <c r="G69" s="52" t="s">
        <v>449</v>
      </c>
      <c r="H69" s="52" t="s">
        <v>450</v>
      </c>
      <c r="I69" s="54" t="s">
        <v>451</v>
      </c>
      <c r="J69" s="53">
        <v>10200</v>
      </c>
    </row>
    <row r="70" spans="2:10" ht="42.6" x14ac:dyDescent="0.3">
      <c r="B70" s="29" t="s">
        <v>452</v>
      </c>
      <c r="C70" s="31" t="s">
        <v>331</v>
      </c>
      <c r="D70" s="30">
        <v>3.1</v>
      </c>
      <c r="F70" s="58" t="s">
        <v>334</v>
      </c>
      <c r="G70" s="59" t="s">
        <v>453</v>
      </c>
      <c r="H70" s="59" t="s">
        <v>454</v>
      </c>
      <c r="I70" s="59" t="s">
        <v>455</v>
      </c>
      <c r="J70" s="60">
        <v>16</v>
      </c>
    </row>
    <row r="71" spans="2:10" ht="42.6" x14ac:dyDescent="0.3">
      <c r="B71" s="29" t="s">
        <v>456</v>
      </c>
      <c r="C71" s="31" t="s">
        <v>331</v>
      </c>
      <c r="D71" s="30">
        <v>2966.7</v>
      </c>
      <c r="F71" s="61" t="s">
        <v>457</v>
      </c>
      <c r="G71" s="59" t="s">
        <v>458</v>
      </c>
      <c r="H71" s="59" t="s">
        <v>459</v>
      </c>
      <c r="I71" s="59" t="s">
        <v>460</v>
      </c>
      <c r="J71" s="62">
        <v>14</v>
      </c>
    </row>
    <row r="72" spans="2:10" ht="42.6" x14ac:dyDescent="0.3">
      <c r="B72" s="29" t="s">
        <v>461</v>
      </c>
      <c r="C72" s="31" t="s">
        <v>331</v>
      </c>
      <c r="D72" s="30">
        <v>2383.9</v>
      </c>
      <c r="F72" s="61" t="s">
        <v>462</v>
      </c>
      <c r="G72" s="59" t="s">
        <v>463</v>
      </c>
      <c r="H72" s="59" t="s">
        <v>464</v>
      </c>
      <c r="I72" s="59" t="s">
        <v>465</v>
      </c>
      <c r="J72" s="62">
        <v>19</v>
      </c>
    </row>
    <row r="73" spans="2:10" ht="42.6" x14ac:dyDescent="0.3">
      <c r="B73" s="29" t="s">
        <v>466</v>
      </c>
      <c r="C73" s="31" t="s">
        <v>331</v>
      </c>
      <c r="D73" s="30">
        <v>1258.4000000000001</v>
      </c>
      <c r="F73" s="61" t="s">
        <v>467</v>
      </c>
      <c r="G73" s="59" t="s">
        <v>468</v>
      </c>
      <c r="H73" s="59" t="s">
        <v>469</v>
      </c>
      <c r="I73" s="59" t="s">
        <v>470</v>
      </c>
      <c r="J73" s="62">
        <v>2100</v>
      </c>
    </row>
    <row r="74" spans="2:10" ht="42.6" x14ac:dyDescent="0.3">
      <c r="B74" s="29" t="s">
        <v>471</v>
      </c>
      <c r="C74" s="31" t="s">
        <v>331</v>
      </c>
      <c r="D74" s="30">
        <v>2630.6</v>
      </c>
      <c r="F74" s="61" t="s">
        <v>472</v>
      </c>
      <c r="G74" s="59" t="s">
        <v>473</v>
      </c>
      <c r="H74" s="59" t="s">
        <v>474</v>
      </c>
      <c r="I74" s="59" t="s">
        <v>475</v>
      </c>
      <c r="J74" s="62">
        <v>1330</v>
      </c>
    </row>
    <row r="75" spans="2:10" ht="42.6" x14ac:dyDescent="0.3">
      <c r="B75" s="29" t="s">
        <v>476</v>
      </c>
      <c r="C75" s="31" t="s">
        <v>331</v>
      </c>
      <c r="D75" s="30">
        <v>3189.5</v>
      </c>
      <c r="F75" s="61" t="s">
        <v>477</v>
      </c>
      <c r="G75" s="59" t="s">
        <v>478</v>
      </c>
      <c r="H75" s="59" t="s">
        <v>479</v>
      </c>
      <c r="I75" s="59" t="s">
        <v>480</v>
      </c>
      <c r="J75" s="62">
        <v>1766</v>
      </c>
    </row>
    <row r="76" spans="2:10" ht="42.6" x14ac:dyDescent="0.3">
      <c r="B76" s="29" t="s">
        <v>481</v>
      </c>
      <c r="C76" s="31" t="s">
        <v>331</v>
      </c>
      <c r="D76" s="30">
        <v>3142.95</v>
      </c>
      <c r="F76" s="61" t="s">
        <v>482</v>
      </c>
      <c r="G76" s="63" t="s">
        <v>483</v>
      </c>
      <c r="H76" s="59" t="s">
        <v>484</v>
      </c>
      <c r="I76" s="59" t="s">
        <v>485</v>
      </c>
      <c r="J76" s="62">
        <v>3444</v>
      </c>
    </row>
    <row r="77" spans="2:10" ht="45" x14ac:dyDescent="0.3">
      <c r="B77" s="29" t="s">
        <v>486</v>
      </c>
      <c r="C77" s="31" t="s">
        <v>331</v>
      </c>
      <c r="D77" s="30">
        <v>2525.6000000000004</v>
      </c>
      <c r="F77" s="61" t="s">
        <v>487</v>
      </c>
      <c r="G77" s="64" t="s">
        <v>488</v>
      </c>
      <c r="H77" s="65" t="s">
        <v>489</v>
      </c>
      <c r="I77" s="66" t="s">
        <v>490</v>
      </c>
      <c r="J77" s="62">
        <v>3922</v>
      </c>
    </row>
    <row r="78" spans="2:10" ht="60" x14ac:dyDescent="0.3">
      <c r="B78" s="29" t="s">
        <v>491</v>
      </c>
      <c r="C78" s="31" t="s">
        <v>331</v>
      </c>
      <c r="D78" s="30">
        <v>3084.5</v>
      </c>
      <c r="F78" s="61" t="s">
        <v>492</v>
      </c>
      <c r="G78" s="64" t="s">
        <v>493</v>
      </c>
      <c r="H78" s="64" t="s">
        <v>494</v>
      </c>
      <c r="I78" s="63" t="s">
        <v>495</v>
      </c>
      <c r="J78" s="62">
        <v>4386</v>
      </c>
    </row>
    <row r="79" spans="2:10" ht="45" x14ac:dyDescent="0.3">
      <c r="B79" s="29" t="s">
        <v>496</v>
      </c>
      <c r="C79" s="31" t="s">
        <v>331</v>
      </c>
      <c r="D79" s="30">
        <v>2725.45</v>
      </c>
      <c r="F79" s="61" t="s">
        <v>497</v>
      </c>
      <c r="G79" s="64" t="s">
        <v>498</v>
      </c>
      <c r="H79" s="64" t="s">
        <v>499</v>
      </c>
      <c r="I79" s="63" t="s">
        <v>500</v>
      </c>
      <c r="J79" s="62">
        <v>2107</v>
      </c>
    </row>
    <row r="80" spans="2:10" ht="45" x14ac:dyDescent="0.3">
      <c r="B80" s="29" t="s">
        <v>501</v>
      </c>
      <c r="C80" s="31" t="s">
        <v>331</v>
      </c>
      <c r="D80" s="30">
        <v>2591.9899999999998</v>
      </c>
      <c r="F80" s="61" t="s">
        <v>502</v>
      </c>
      <c r="G80" s="64" t="s">
        <v>503</v>
      </c>
      <c r="H80" s="64" t="s">
        <v>504</v>
      </c>
      <c r="I80" s="63" t="s">
        <v>505</v>
      </c>
      <c r="J80" s="62">
        <v>2804</v>
      </c>
    </row>
    <row r="81" spans="2:10" ht="45" x14ac:dyDescent="0.3">
      <c r="B81" s="29" t="s">
        <v>506</v>
      </c>
      <c r="C81" s="31" t="s">
        <v>331</v>
      </c>
      <c r="D81" s="30">
        <v>2280.25</v>
      </c>
      <c r="F81" s="61" t="s">
        <v>507</v>
      </c>
      <c r="G81" s="64" t="s">
        <v>508</v>
      </c>
      <c r="H81" s="64" t="s">
        <v>509</v>
      </c>
      <c r="I81" s="63" t="s">
        <v>510</v>
      </c>
      <c r="J81" s="62">
        <v>1774</v>
      </c>
    </row>
    <row r="82" spans="2:10" ht="45" x14ac:dyDescent="0.3">
      <c r="B82" s="29" t="s">
        <v>511</v>
      </c>
      <c r="C82" s="31" t="s">
        <v>331</v>
      </c>
      <c r="D82" s="30">
        <v>2439.6</v>
      </c>
      <c r="F82" s="61" t="s">
        <v>512</v>
      </c>
      <c r="G82" s="64" t="s">
        <v>513</v>
      </c>
      <c r="H82" s="64" t="s">
        <v>514</v>
      </c>
      <c r="I82" s="63" t="s">
        <v>515</v>
      </c>
      <c r="J82" s="62">
        <v>1627</v>
      </c>
    </row>
    <row r="83" spans="2:10" ht="45" x14ac:dyDescent="0.3">
      <c r="B83" s="29" t="s">
        <v>516</v>
      </c>
      <c r="C83" s="31" t="s">
        <v>331</v>
      </c>
      <c r="D83" s="30">
        <v>1505.125</v>
      </c>
      <c r="F83" s="61" t="s">
        <v>517</v>
      </c>
      <c r="G83" s="64" t="s">
        <v>518</v>
      </c>
      <c r="H83" s="64" t="s">
        <v>519</v>
      </c>
      <c r="I83" s="63" t="s">
        <v>520</v>
      </c>
      <c r="J83" s="62">
        <v>1552</v>
      </c>
    </row>
    <row r="84" spans="2:10" ht="45" x14ac:dyDescent="0.3">
      <c r="B84" s="29" t="s">
        <v>521</v>
      </c>
      <c r="C84" s="31" t="s">
        <v>331</v>
      </c>
      <c r="D84" s="30">
        <v>1508.4</v>
      </c>
      <c r="F84" s="61" t="s">
        <v>522</v>
      </c>
      <c r="G84" s="64" t="s">
        <v>523</v>
      </c>
      <c r="H84" s="64" t="s">
        <v>524</v>
      </c>
      <c r="I84" s="63" t="s">
        <v>525</v>
      </c>
      <c r="J84" s="62">
        <v>1825</v>
      </c>
    </row>
    <row r="85" spans="2:10" ht="45" x14ac:dyDescent="0.3">
      <c r="B85" s="29" t="s">
        <v>526</v>
      </c>
      <c r="C85" s="31" t="s">
        <v>331</v>
      </c>
      <c r="D85" s="30">
        <v>2138.25</v>
      </c>
      <c r="F85" s="61" t="s">
        <v>527</v>
      </c>
      <c r="G85" s="64" t="s">
        <v>528</v>
      </c>
      <c r="H85" s="64" t="s">
        <v>529</v>
      </c>
      <c r="I85" s="63" t="s">
        <v>530</v>
      </c>
      <c r="J85" s="62">
        <v>1495</v>
      </c>
    </row>
    <row r="86" spans="2:10" ht="30" x14ac:dyDescent="0.3">
      <c r="B86" s="29" t="s">
        <v>531</v>
      </c>
      <c r="C86" s="31" t="s">
        <v>331</v>
      </c>
      <c r="D86" s="30">
        <v>3606.5</v>
      </c>
      <c r="F86" s="61" t="s">
        <v>532</v>
      </c>
      <c r="G86" s="64" t="s">
        <v>533</v>
      </c>
      <c r="H86" s="64" t="s">
        <v>534</v>
      </c>
      <c r="I86" s="63" t="s">
        <v>535</v>
      </c>
      <c r="J86" s="62">
        <v>2088</v>
      </c>
    </row>
    <row r="87" spans="2:10" ht="30" x14ac:dyDescent="0.3">
      <c r="B87" s="29" t="s">
        <v>536</v>
      </c>
      <c r="C87" s="31" t="s">
        <v>331</v>
      </c>
      <c r="D87" s="30">
        <v>12.4</v>
      </c>
      <c r="F87" s="61" t="s">
        <v>537</v>
      </c>
      <c r="G87" s="64" t="s">
        <v>538</v>
      </c>
      <c r="H87" s="64" t="s">
        <v>539</v>
      </c>
      <c r="I87" s="63" t="s">
        <v>540</v>
      </c>
      <c r="J87" s="62">
        <v>2229</v>
      </c>
    </row>
    <row r="88" spans="2:10" ht="45" x14ac:dyDescent="0.3">
      <c r="B88" s="29" t="s">
        <v>541</v>
      </c>
      <c r="C88" s="31" t="s">
        <v>331</v>
      </c>
      <c r="D88" s="30">
        <v>94.24</v>
      </c>
      <c r="F88" s="61" t="s">
        <v>542</v>
      </c>
      <c r="G88" s="64" t="s">
        <v>543</v>
      </c>
      <c r="H88" s="64" t="s">
        <v>544</v>
      </c>
      <c r="I88" s="63" t="s">
        <v>545</v>
      </c>
      <c r="J88" s="62">
        <v>14</v>
      </c>
    </row>
    <row r="89" spans="2:10" ht="45" x14ac:dyDescent="0.3">
      <c r="B89" s="29" t="s">
        <v>546</v>
      </c>
      <c r="C89" s="31" t="s">
        <v>331</v>
      </c>
      <c r="D89" s="30">
        <v>35.96</v>
      </c>
      <c r="F89" s="61" t="s">
        <v>547</v>
      </c>
      <c r="G89" s="64" t="s">
        <v>548</v>
      </c>
      <c r="H89" s="64" t="s">
        <v>549</v>
      </c>
      <c r="I89" s="63" t="s">
        <v>550</v>
      </c>
      <c r="J89" s="62">
        <v>4</v>
      </c>
    </row>
    <row r="90" spans="2:10" ht="45" x14ac:dyDescent="0.3">
      <c r="B90" s="29" t="s">
        <v>551</v>
      </c>
      <c r="C90" s="31" t="s">
        <v>331</v>
      </c>
      <c r="D90" s="30">
        <v>0</v>
      </c>
      <c r="F90" s="61" t="s">
        <v>552</v>
      </c>
      <c r="G90" s="64" t="s">
        <v>553</v>
      </c>
      <c r="H90" s="64" t="s">
        <v>554</v>
      </c>
      <c r="I90" s="63" t="s">
        <v>555</v>
      </c>
      <c r="J90" s="62">
        <v>2053</v>
      </c>
    </row>
    <row r="91" spans="2:10" ht="30" x14ac:dyDescent="0.3">
      <c r="B91" s="29" t="s">
        <v>556</v>
      </c>
      <c r="C91" s="31" t="s">
        <v>331</v>
      </c>
      <c r="D91" s="30">
        <v>0</v>
      </c>
      <c r="F91" s="61" t="s">
        <v>557</v>
      </c>
      <c r="G91" s="64" t="s">
        <v>558</v>
      </c>
      <c r="H91" s="64" t="s">
        <v>559</v>
      </c>
      <c r="I91" s="63" t="s">
        <v>560</v>
      </c>
      <c r="J91" s="62">
        <v>22</v>
      </c>
    </row>
    <row r="92" spans="2:10" ht="30" x14ac:dyDescent="0.3">
      <c r="B92" s="29" t="s">
        <v>561</v>
      </c>
      <c r="C92" s="31" t="s">
        <v>331</v>
      </c>
      <c r="D92" s="30">
        <v>3245.4</v>
      </c>
      <c r="F92" s="61" t="s">
        <v>562</v>
      </c>
      <c r="G92" s="64" t="s">
        <v>563</v>
      </c>
      <c r="H92" s="64" t="s">
        <v>564</v>
      </c>
      <c r="I92" s="63" t="s">
        <v>565</v>
      </c>
      <c r="J92" s="62">
        <v>93</v>
      </c>
    </row>
    <row r="93" spans="2:10" ht="45" x14ac:dyDescent="0.3">
      <c r="B93" s="29" t="s">
        <v>566</v>
      </c>
      <c r="C93" s="31" t="s">
        <v>331</v>
      </c>
      <c r="D93" s="30">
        <v>24.8</v>
      </c>
      <c r="F93" s="61" t="s">
        <v>567</v>
      </c>
      <c r="G93" s="64" t="s">
        <v>568</v>
      </c>
      <c r="H93" s="64" t="s">
        <v>569</v>
      </c>
      <c r="I93" s="63" t="s">
        <v>570</v>
      </c>
      <c r="J93" s="62">
        <v>844</v>
      </c>
    </row>
    <row r="94" spans="2:10" ht="45" x14ac:dyDescent="0.3">
      <c r="B94" s="29" t="s">
        <v>571</v>
      </c>
      <c r="C94" s="31" t="s">
        <v>331</v>
      </c>
      <c r="D94" s="30">
        <v>0</v>
      </c>
      <c r="F94" s="61" t="s">
        <v>572</v>
      </c>
      <c r="G94" s="64" t="s">
        <v>573</v>
      </c>
      <c r="H94" s="64" t="s">
        <v>574</v>
      </c>
      <c r="I94" s="63" t="s">
        <v>575</v>
      </c>
      <c r="J94" s="62">
        <v>2346</v>
      </c>
    </row>
    <row r="95" spans="2:10" ht="45" x14ac:dyDescent="0.3">
      <c r="B95" s="29" t="s">
        <v>576</v>
      </c>
      <c r="C95" s="31" t="s">
        <v>331</v>
      </c>
      <c r="D95" s="30">
        <v>0</v>
      </c>
      <c r="F95" s="61" t="s">
        <v>577</v>
      </c>
      <c r="G95" s="64" t="s">
        <v>578</v>
      </c>
      <c r="H95" s="64" t="s">
        <v>579</v>
      </c>
      <c r="I95" s="63" t="s">
        <v>580</v>
      </c>
      <c r="J95" s="62">
        <v>3026</v>
      </c>
    </row>
    <row r="96" spans="2:10" ht="45" x14ac:dyDescent="0.3">
      <c r="B96" s="29" t="s">
        <v>581</v>
      </c>
      <c r="C96" s="31" t="s">
        <v>331</v>
      </c>
      <c r="D96" s="30">
        <v>1805.05</v>
      </c>
      <c r="F96" s="61" t="s">
        <v>582</v>
      </c>
      <c r="G96" s="64" t="s">
        <v>583</v>
      </c>
      <c r="H96" s="64" t="s">
        <v>584</v>
      </c>
      <c r="I96" s="63" t="s">
        <v>585</v>
      </c>
      <c r="J96" s="62">
        <v>3</v>
      </c>
    </row>
    <row r="97" spans="2:10" ht="45" x14ac:dyDescent="0.3">
      <c r="B97" s="29" t="s">
        <v>586</v>
      </c>
      <c r="C97" s="31" t="s">
        <v>331</v>
      </c>
      <c r="D97" s="30">
        <v>2264.4349999999999</v>
      </c>
      <c r="F97" s="61" t="s">
        <v>587</v>
      </c>
      <c r="G97" s="64" t="s">
        <v>588</v>
      </c>
      <c r="H97" s="64" t="s">
        <v>589</v>
      </c>
      <c r="I97" s="63" t="s">
        <v>590</v>
      </c>
      <c r="J97" s="62">
        <v>2967</v>
      </c>
    </row>
    <row r="98" spans="2:10" ht="30" x14ac:dyDescent="0.3">
      <c r="B98" s="29" t="s">
        <v>591</v>
      </c>
      <c r="C98" s="31" t="s">
        <v>331</v>
      </c>
      <c r="D98" s="30">
        <v>1982.5</v>
      </c>
      <c r="F98" s="61" t="s">
        <v>592</v>
      </c>
      <c r="G98" s="64" t="s">
        <v>593</v>
      </c>
      <c r="H98" s="64" t="s">
        <v>594</v>
      </c>
      <c r="I98" s="63" t="s">
        <v>595</v>
      </c>
      <c r="J98" s="62">
        <v>1258</v>
      </c>
    </row>
    <row r="99" spans="2:10" ht="30" x14ac:dyDescent="0.3">
      <c r="B99" s="29" t="s">
        <v>596</v>
      </c>
      <c r="C99" s="31" t="s">
        <v>331</v>
      </c>
      <c r="D99" s="30">
        <v>144.15199999999999</v>
      </c>
      <c r="F99" s="61" t="s">
        <v>597</v>
      </c>
      <c r="G99" s="64" t="s">
        <v>598</v>
      </c>
      <c r="H99" s="64" t="s">
        <v>599</v>
      </c>
      <c r="I99" s="63" t="s">
        <v>600</v>
      </c>
      <c r="J99" s="62">
        <v>2631</v>
      </c>
    </row>
    <row r="100" spans="2:10" ht="30" x14ac:dyDescent="0.3">
      <c r="B100" s="29" t="s">
        <v>601</v>
      </c>
      <c r="C100" s="31" t="s">
        <v>331</v>
      </c>
      <c r="D100" s="30">
        <v>0</v>
      </c>
      <c r="F100" s="61" t="s">
        <v>602</v>
      </c>
      <c r="G100" s="64" t="s">
        <v>603</v>
      </c>
      <c r="H100" s="64" t="s">
        <v>604</v>
      </c>
      <c r="I100" s="63" t="s">
        <v>605</v>
      </c>
      <c r="J100" s="62">
        <v>3190</v>
      </c>
    </row>
    <row r="101" spans="2:10" ht="45" x14ac:dyDescent="0.3">
      <c r="B101" s="29" t="s">
        <v>606</v>
      </c>
      <c r="C101" s="31" t="s">
        <v>331</v>
      </c>
      <c r="D101" s="30">
        <v>1887.97</v>
      </c>
      <c r="F101" s="61" t="s">
        <v>607</v>
      </c>
      <c r="G101" s="64" t="s">
        <v>608</v>
      </c>
      <c r="H101" s="64" t="s">
        <v>609</v>
      </c>
      <c r="I101" s="63" t="s">
        <v>610</v>
      </c>
      <c r="J101" s="62">
        <v>3143</v>
      </c>
    </row>
    <row r="102" spans="2:10" ht="45" x14ac:dyDescent="0.3">
      <c r="B102" s="29" t="s">
        <v>611</v>
      </c>
      <c r="C102" s="31" t="s">
        <v>331</v>
      </c>
      <c r="D102" s="30">
        <v>0</v>
      </c>
      <c r="F102" s="61" t="s">
        <v>612</v>
      </c>
      <c r="G102" s="64" t="s">
        <v>613</v>
      </c>
      <c r="H102" s="64" t="s">
        <v>614</v>
      </c>
      <c r="I102" s="63" t="s">
        <v>615</v>
      </c>
      <c r="J102" s="62">
        <v>2526</v>
      </c>
    </row>
    <row r="103" spans="2:10" ht="45" x14ac:dyDescent="0.3">
      <c r="B103" s="29" t="s">
        <v>616</v>
      </c>
      <c r="C103" s="31" t="s">
        <v>331</v>
      </c>
      <c r="D103" s="30">
        <v>87.2</v>
      </c>
      <c r="F103" s="61" t="s">
        <v>617</v>
      </c>
      <c r="G103" s="64" t="s">
        <v>618</v>
      </c>
      <c r="H103" s="64" t="s">
        <v>619</v>
      </c>
      <c r="I103" s="63" t="s">
        <v>620</v>
      </c>
      <c r="J103" s="62">
        <v>3085</v>
      </c>
    </row>
    <row r="104" spans="2:10" ht="45" x14ac:dyDescent="0.3">
      <c r="B104" s="29" t="s">
        <v>621</v>
      </c>
      <c r="C104" s="31" t="s">
        <v>331</v>
      </c>
      <c r="D104" s="30">
        <v>128.69999999999999</v>
      </c>
      <c r="F104" s="61" t="s">
        <v>622</v>
      </c>
      <c r="G104" s="64" t="s">
        <v>623</v>
      </c>
      <c r="H104" s="64" t="s">
        <v>624</v>
      </c>
      <c r="I104" s="63" t="s">
        <v>625</v>
      </c>
      <c r="J104" s="62">
        <v>2729</v>
      </c>
    </row>
    <row r="105" spans="2:10" ht="30" x14ac:dyDescent="0.3">
      <c r="B105" s="29" t="s">
        <v>626</v>
      </c>
      <c r="C105" s="31" t="s">
        <v>331</v>
      </c>
      <c r="D105" s="30">
        <v>32.488</v>
      </c>
      <c r="F105" s="61" t="s">
        <v>627</v>
      </c>
      <c r="G105" s="64" t="s">
        <v>628</v>
      </c>
      <c r="H105" s="64" t="s">
        <v>629</v>
      </c>
      <c r="I105" s="63" t="s">
        <v>630</v>
      </c>
      <c r="J105" s="62">
        <v>2280</v>
      </c>
    </row>
    <row r="106" spans="2:10" ht="88.8" x14ac:dyDescent="0.3">
      <c r="B106" s="29" t="s">
        <v>631</v>
      </c>
      <c r="C106" s="31" t="s">
        <v>331</v>
      </c>
      <c r="D106" s="30">
        <v>0</v>
      </c>
      <c r="F106" s="61" t="s">
        <v>632</v>
      </c>
      <c r="G106" s="64" t="s">
        <v>633</v>
      </c>
      <c r="H106" s="64" t="s">
        <v>634</v>
      </c>
      <c r="I106" s="63" t="s">
        <v>635</v>
      </c>
      <c r="J106" s="62">
        <v>2440</v>
      </c>
    </row>
    <row r="107" spans="2:10" ht="45" x14ac:dyDescent="0.3">
      <c r="B107" s="29" t="s">
        <v>636</v>
      </c>
      <c r="C107" s="31" t="s">
        <v>331</v>
      </c>
      <c r="D107" s="30">
        <v>0</v>
      </c>
      <c r="F107" s="61" t="s">
        <v>637</v>
      </c>
      <c r="G107" s="64" t="s">
        <v>638</v>
      </c>
      <c r="H107" s="64" t="s">
        <v>639</v>
      </c>
      <c r="I107" s="63" t="s">
        <v>640</v>
      </c>
      <c r="J107" s="62">
        <v>1505</v>
      </c>
    </row>
    <row r="108" spans="2:10" ht="73.8" x14ac:dyDescent="0.3">
      <c r="B108" s="29" t="s">
        <v>641</v>
      </c>
      <c r="C108" s="31" t="s">
        <v>331</v>
      </c>
      <c r="D108" s="30">
        <v>5934.8</v>
      </c>
      <c r="F108" s="61" t="s">
        <v>642</v>
      </c>
      <c r="G108" s="64" t="s">
        <v>643</v>
      </c>
      <c r="H108" s="64" t="s">
        <v>644</v>
      </c>
      <c r="I108" s="63" t="s">
        <v>645</v>
      </c>
      <c r="J108" s="62">
        <v>1509</v>
      </c>
    </row>
    <row r="109" spans="2:10" ht="60" x14ac:dyDescent="0.3">
      <c r="B109" s="29" t="s">
        <v>646</v>
      </c>
      <c r="C109" s="31" t="s">
        <v>331</v>
      </c>
      <c r="D109" s="30">
        <v>325.34999999999997</v>
      </c>
      <c r="F109" s="61" t="s">
        <v>647</v>
      </c>
      <c r="G109" s="64" t="s">
        <v>648</v>
      </c>
      <c r="H109" s="64" t="s">
        <v>649</v>
      </c>
      <c r="I109" s="63" t="s">
        <v>650</v>
      </c>
      <c r="J109" s="62">
        <v>2138</v>
      </c>
    </row>
    <row r="110" spans="2:10" ht="60" x14ac:dyDescent="0.3">
      <c r="B110" s="29" t="s">
        <v>651</v>
      </c>
      <c r="C110" s="31" t="s">
        <v>331</v>
      </c>
      <c r="D110" s="30">
        <v>0</v>
      </c>
      <c r="F110" s="61" t="s">
        <v>652</v>
      </c>
      <c r="G110" s="64" t="s">
        <v>653</v>
      </c>
      <c r="H110" s="64" t="s">
        <v>654</v>
      </c>
      <c r="I110" s="63" t="s">
        <v>655</v>
      </c>
      <c r="J110" s="62">
        <v>3607</v>
      </c>
    </row>
    <row r="111" spans="2:10" ht="45" x14ac:dyDescent="0.3">
      <c r="B111" s="29" t="s">
        <v>656</v>
      </c>
      <c r="C111" s="31" t="s">
        <v>331</v>
      </c>
      <c r="D111" s="30">
        <v>0</v>
      </c>
      <c r="F111" s="61" t="s">
        <v>657</v>
      </c>
      <c r="G111" s="64" t="s">
        <v>658</v>
      </c>
      <c r="H111" s="64" t="s">
        <v>659</v>
      </c>
      <c r="I111" s="63" t="s">
        <v>660</v>
      </c>
      <c r="J111" s="62">
        <v>14</v>
      </c>
    </row>
    <row r="112" spans="2:10" ht="30" x14ac:dyDescent="0.3">
      <c r="B112" s="29" t="s">
        <v>661</v>
      </c>
      <c r="C112" s="31" t="s">
        <v>331</v>
      </c>
      <c r="D112" s="30">
        <v>3985</v>
      </c>
      <c r="F112" s="61" t="s">
        <v>662</v>
      </c>
      <c r="G112" s="64" t="s">
        <v>663</v>
      </c>
      <c r="H112" s="64" t="s">
        <v>664</v>
      </c>
      <c r="I112" s="63" t="s">
        <v>665</v>
      </c>
      <c r="J112" s="62">
        <v>95</v>
      </c>
    </row>
    <row r="113" spans="2:10" ht="30" x14ac:dyDescent="0.3">
      <c r="B113" s="29" t="s">
        <v>666</v>
      </c>
      <c r="C113" s="31" t="s">
        <v>331</v>
      </c>
      <c r="D113" s="30">
        <v>13214</v>
      </c>
      <c r="F113" s="61" t="s">
        <v>667</v>
      </c>
      <c r="G113" s="64" t="s">
        <v>668</v>
      </c>
      <c r="H113" s="63" t="s">
        <v>669</v>
      </c>
      <c r="I113" s="64" t="s">
        <v>670</v>
      </c>
      <c r="J113" s="62">
        <v>38</v>
      </c>
    </row>
    <row r="114" spans="2:10" ht="60" x14ac:dyDescent="0.3">
      <c r="B114" s="29" t="s">
        <v>671</v>
      </c>
      <c r="C114" s="31" t="s">
        <v>331</v>
      </c>
      <c r="D114" s="30">
        <v>13396</v>
      </c>
      <c r="F114" s="61" t="s">
        <v>672</v>
      </c>
      <c r="G114" s="63" t="s">
        <v>673</v>
      </c>
      <c r="H114" s="64" t="s">
        <v>674</v>
      </c>
      <c r="I114" s="64" t="s">
        <v>675</v>
      </c>
      <c r="J114" s="62">
        <v>3245</v>
      </c>
    </row>
    <row r="115" spans="2:10" ht="30" x14ac:dyDescent="0.3">
      <c r="B115" s="29" t="s">
        <v>676</v>
      </c>
      <c r="C115" s="31" t="s">
        <v>331</v>
      </c>
      <c r="D115" s="30">
        <v>4944.8</v>
      </c>
      <c r="F115" s="61" t="s">
        <v>677</v>
      </c>
      <c r="G115" s="64" t="s">
        <v>678</v>
      </c>
      <c r="H115" s="63" t="s">
        <v>679</v>
      </c>
      <c r="I115" s="64" t="s">
        <v>680</v>
      </c>
      <c r="J115" s="62">
        <v>26</v>
      </c>
    </row>
    <row r="116" spans="2:10" ht="60" x14ac:dyDescent="0.3">
      <c r="B116" s="29" t="s">
        <v>681</v>
      </c>
      <c r="C116" s="31" t="s">
        <v>331</v>
      </c>
      <c r="D116" s="30">
        <v>0</v>
      </c>
      <c r="F116" s="61" t="s">
        <v>682</v>
      </c>
      <c r="G116" s="64" t="s">
        <v>683</v>
      </c>
      <c r="H116" s="63" t="s">
        <v>684</v>
      </c>
      <c r="I116" s="64" t="s">
        <v>685</v>
      </c>
      <c r="J116" s="62">
        <v>1805</v>
      </c>
    </row>
    <row r="117" spans="2:10" ht="45" x14ac:dyDescent="0.3">
      <c r="B117" s="29" t="s">
        <v>686</v>
      </c>
      <c r="C117" s="31" t="s">
        <v>331</v>
      </c>
      <c r="D117" s="30">
        <v>0</v>
      </c>
      <c r="F117" s="61" t="s">
        <v>687</v>
      </c>
      <c r="G117" s="64" t="s">
        <v>688</v>
      </c>
      <c r="H117" s="63" t="s">
        <v>689</v>
      </c>
      <c r="I117" s="64" t="s">
        <v>690</v>
      </c>
      <c r="J117" s="62">
        <v>3805</v>
      </c>
    </row>
    <row r="118" spans="2:10" ht="60.6" thickBot="1" x14ac:dyDescent="0.35">
      <c r="B118" s="29" t="s">
        <v>691</v>
      </c>
      <c r="C118" s="31" t="s">
        <v>331</v>
      </c>
      <c r="D118" s="30">
        <v>189.3</v>
      </c>
      <c r="F118" s="61" t="s">
        <v>692</v>
      </c>
      <c r="G118" s="64" t="s">
        <v>693</v>
      </c>
      <c r="H118" s="63" t="s">
        <v>684</v>
      </c>
      <c r="I118" s="64" t="s">
        <v>694</v>
      </c>
      <c r="J118" s="62">
        <v>2265</v>
      </c>
    </row>
    <row r="119" spans="2:10" ht="75" x14ac:dyDescent="0.3">
      <c r="B119" s="28" t="s">
        <v>695</v>
      </c>
      <c r="C119" s="29" t="s">
        <v>696</v>
      </c>
      <c r="D119" s="32">
        <v>6226</v>
      </c>
      <c r="E119" s="197" t="s">
        <v>697</v>
      </c>
      <c r="F119" s="61" t="s">
        <v>698</v>
      </c>
      <c r="G119" s="64" t="s">
        <v>699</v>
      </c>
      <c r="H119" s="63" t="s">
        <v>700</v>
      </c>
      <c r="I119" s="64" t="s">
        <v>701</v>
      </c>
      <c r="J119" s="62">
        <v>1888</v>
      </c>
    </row>
    <row r="120" spans="2:10" ht="57.6" x14ac:dyDescent="0.3">
      <c r="B120" s="28" t="s">
        <v>702</v>
      </c>
      <c r="C120" s="29" t="s">
        <v>696</v>
      </c>
      <c r="D120" s="32">
        <v>10200</v>
      </c>
      <c r="E120" s="198"/>
      <c r="F120" s="61" t="s">
        <v>703</v>
      </c>
      <c r="G120" s="64" t="s">
        <v>704</v>
      </c>
      <c r="H120" s="63" t="s">
        <v>705</v>
      </c>
      <c r="I120" s="64" t="s">
        <v>706</v>
      </c>
      <c r="J120" s="62">
        <v>296</v>
      </c>
    </row>
    <row r="121" spans="2:10" ht="88.8" x14ac:dyDescent="0.3">
      <c r="B121" s="28" t="s">
        <v>707</v>
      </c>
      <c r="C121" s="29" t="s">
        <v>696</v>
      </c>
      <c r="D121" s="32">
        <v>13900</v>
      </c>
      <c r="E121" s="198"/>
      <c r="F121" s="61" t="s">
        <v>708</v>
      </c>
      <c r="G121" s="64" t="s">
        <v>709</v>
      </c>
      <c r="H121" s="63" t="s">
        <v>710</v>
      </c>
      <c r="I121" s="64" t="s">
        <v>711</v>
      </c>
      <c r="J121" s="62">
        <v>1387</v>
      </c>
    </row>
    <row r="122" spans="2:10" ht="60" x14ac:dyDescent="0.3">
      <c r="B122" s="28" t="s">
        <v>712</v>
      </c>
      <c r="C122" s="29" t="s">
        <v>696</v>
      </c>
      <c r="D122" s="32">
        <v>5820</v>
      </c>
      <c r="E122" s="198"/>
      <c r="F122" s="61" t="s">
        <v>713</v>
      </c>
      <c r="G122" s="64" t="s">
        <v>714</v>
      </c>
      <c r="H122" s="63" t="s">
        <v>715</v>
      </c>
      <c r="I122" s="64" t="s">
        <v>716</v>
      </c>
      <c r="J122" s="62">
        <v>1397</v>
      </c>
    </row>
    <row r="123" spans="2:10" ht="42.6" x14ac:dyDescent="0.3">
      <c r="B123" s="28" t="s">
        <v>717</v>
      </c>
      <c r="C123" s="29" t="s">
        <v>696</v>
      </c>
      <c r="D123" s="32">
        <v>8590</v>
      </c>
      <c r="E123" s="198"/>
      <c r="F123" s="61" t="s">
        <v>718</v>
      </c>
      <c r="G123" s="64" t="s">
        <v>719</v>
      </c>
      <c r="H123" s="63" t="s">
        <v>720</v>
      </c>
      <c r="I123" s="64" t="s">
        <v>721</v>
      </c>
      <c r="J123" s="62">
        <v>605</v>
      </c>
    </row>
    <row r="124" spans="2:10" ht="43.8" x14ac:dyDescent="0.3">
      <c r="B124" s="28" t="s">
        <v>722</v>
      </c>
      <c r="C124" s="29" t="s">
        <v>696</v>
      </c>
      <c r="D124" s="32">
        <v>7670</v>
      </c>
      <c r="E124" s="198"/>
      <c r="F124" s="61" t="s">
        <v>723</v>
      </c>
      <c r="G124" s="64" t="s">
        <v>724</v>
      </c>
      <c r="H124" s="63" t="s">
        <v>725</v>
      </c>
      <c r="I124" s="64" t="s">
        <v>726</v>
      </c>
      <c r="J124" s="62">
        <v>2140</v>
      </c>
    </row>
    <row r="125" spans="2:10" ht="43.8" x14ac:dyDescent="0.3">
      <c r="B125" s="28" t="s">
        <v>727</v>
      </c>
      <c r="C125" s="33" t="s">
        <v>728</v>
      </c>
      <c r="D125" s="32">
        <v>6290</v>
      </c>
      <c r="E125" s="198"/>
      <c r="F125" s="61" t="s">
        <v>729</v>
      </c>
      <c r="G125" s="64" t="s">
        <v>730</v>
      </c>
      <c r="H125" s="63" t="s">
        <v>731</v>
      </c>
      <c r="I125" s="64" t="s">
        <v>732</v>
      </c>
      <c r="J125" s="62">
        <v>698</v>
      </c>
    </row>
    <row r="126" spans="2:10" ht="100.2" x14ac:dyDescent="0.3">
      <c r="B126" s="28" t="s">
        <v>733</v>
      </c>
      <c r="C126" s="33" t="s">
        <v>728</v>
      </c>
      <c r="D126" s="32">
        <v>1750</v>
      </c>
      <c r="E126" s="198"/>
      <c r="F126" s="61" t="s">
        <v>734</v>
      </c>
      <c r="G126" s="64" t="s">
        <v>735</v>
      </c>
      <c r="H126" s="63" t="s">
        <v>736</v>
      </c>
      <c r="I126" s="64" t="s">
        <v>737</v>
      </c>
      <c r="J126" s="62">
        <v>1765</v>
      </c>
    </row>
    <row r="127" spans="2:10" ht="28.8" x14ac:dyDescent="0.3">
      <c r="B127" s="28" t="s">
        <v>738</v>
      </c>
      <c r="C127" s="33" t="s">
        <v>728</v>
      </c>
      <c r="D127" s="32">
        <v>1470</v>
      </c>
      <c r="E127" s="198"/>
      <c r="F127" s="61" t="s">
        <v>739</v>
      </c>
      <c r="G127" s="64" t="s">
        <v>740</v>
      </c>
      <c r="H127" s="63" t="s">
        <v>741</v>
      </c>
      <c r="I127" s="64" t="s">
        <v>742</v>
      </c>
      <c r="J127" s="62">
        <v>466</v>
      </c>
    </row>
    <row r="128" spans="2:10" ht="41.4" x14ac:dyDescent="0.3">
      <c r="B128" s="28" t="s">
        <v>743</v>
      </c>
      <c r="C128" s="33" t="s">
        <v>728</v>
      </c>
      <c r="D128" s="32">
        <v>1730</v>
      </c>
      <c r="E128" s="198"/>
      <c r="F128" s="61" t="s">
        <v>744</v>
      </c>
      <c r="G128" s="64" t="s">
        <v>745</v>
      </c>
      <c r="H128" s="63" t="s">
        <v>746</v>
      </c>
      <c r="I128" s="64" t="s">
        <v>747</v>
      </c>
      <c r="J128" s="62">
        <v>1357</v>
      </c>
    </row>
    <row r="129" spans="2:10" ht="30" x14ac:dyDescent="0.3">
      <c r="B129" s="28" t="s">
        <v>748</v>
      </c>
      <c r="C129" s="33" t="s">
        <v>728</v>
      </c>
      <c r="D129" s="32">
        <v>2</v>
      </c>
      <c r="E129" s="198"/>
      <c r="F129" s="61" t="s">
        <v>749</v>
      </c>
      <c r="G129" s="64" t="s">
        <v>750</v>
      </c>
      <c r="H129" s="63" t="s">
        <v>751</v>
      </c>
      <c r="I129" s="64" t="s">
        <v>752</v>
      </c>
      <c r="J129" s="62">
        <v>3985</v>
      </c>
    </row>
    <row r="130" spans="2:10" ht="30" x14ac:dyDescent="0.3">
      <c r="B130" s="28" t="s">
        <v>753</v>
      </c>
      <c r="C130" s="33" t="s">
        <v>728</v>
      </c>
      <c r="D130" s="32">
        <v>160</v>
      </c>
      <c r="E130" s="198"/>
      <c r="F130" s="61" t="s">
        <v>754</v>
      </c>
      <c r="G130" s="64" t="s">
        <v>755</v>
      </c>
      <c r="H130" s="63" t="s">
        <v>756</v>
      </c>
      <c r="I130" s="64" t="s">
        <v>757</v>
      </c>
      <c r="J130" s="62">
        <v>13214</v>
      </c>
    </row>
    <row r="131" spans="2:10" ht="30" x14ac:dyDescent="0.3">
      <c r="B131" s="28" t="s">
        <v>758</v>
      </c>
      <c r="C131" s="29" t="s">
        <v>759</v>
      </c>
      <c r="D131" s="32">
        <v>148</v>
      </c>
      <c r="E131" s="198"/>
      <c r="F131" s="61" t="s">
        <v>760</v>
      </c>
      <c r="G131" s="64" t="s">
        <v>761</v>
      </c>
      <c r="H131" s="63" t="s">
        <v>762</v>
      </c>
      <c r="I131" s="64" t="s">
        <v>763</v>
      </c>
      <c r="J131" s="62">
        <v>13396</v>
      </c>
    </row>
    <row r="132" spans="2:10" ht="27.6" x14ac:dyDescent="0.3">
      <c r="B132" s="28" t="s">
        <v>764</v>
      </c>
      <c r="C132" s="29" t="s">
        <v>759</v>
      </c>
      <c r="D132" s="32">
        <v>1760</v>
      </c>
      <c r="E132" s="198"/>
      <c r="F132" s="61" t="s">
        <v>765</v>
      </c>
      <c r="G132" s="64" t="s">
        <v>766</v>
      </c>
      <c r="H132" s="63" t="s">
        <v>767</v>
      </c>
      <c r="I132" s="64" t="s">
        <v>768</v>
      </c>
      <c r="J132" s="62">
        <v>631</v>
      </c>
    </row>
    <row r="133" spans="2:10" x14ac:dyDescent="0.3">
      <c r="B133" s="28" t="s">
        <v>769</v>
      </c>
      <c r="C133" s="29" t="s">
        <v>759</v>
      </c>
      <c r="D133" s="32">
        <v>79</v>
      </c>
      <c r="E133" s="198"/>
    </row>
    <row r="134" spans="2:10" x14ac:dyDescent="0.3">
      <c r="B134" s="28" t="s">
        <v>770</v>
      </c>
      <c r="C134" s="29" t="s">
        <v>759</v>
      </c>
      <c r="D134" s="32">
        <v>527</v>
      </c>
      <c r="E134" s="198"/>
    </row>
    <row r="135" spans="2:10" x14ac:dyDescent="0.3">
      <c r="B135" s="28" t="s">
        <v>771</v>
      </c>
      <c r="C135" s="29" t="s">
        <v>759</v>
      </c>
      <c r="D135" s="32">
        <v>782</v>
      </c>
      <c r="E135" s="198"/>
    </row>
    <row r="136" spans="2:10" x14ac:dyDescent="0.3">
      <c r="B136" s="28" t="s">
        <v>772</v>
      </c>
      <c r="C136" s="29" t="s">
        <v>759</v>
      </c>
      <c r="D136" s="32">
        <v>1980</v>
      </c>
      <c r="E136" s="198"/>
    </row>
    <row r="137" spans="2:10" x14ac:dyDescent="0.3">
      <c r="B137" s="28" t="s">
        <v>773</v>
      </c>
      <c r="C137" s="29" t="s">
        <v>759</v>
      </c>
      <c r="D137" s="32">
        <v>127</v>
      </c>
      <c r="E137" s="198"/>
    </row>
    <row r="138" spans="2:10" x14ac:dyDescent="0.3">
      <c r="B138" s="28" t="s">
        <v>774</v>
      </c>
      <c r="C138" s="29" t="s">
        <v>759</v>
      </c>
      <c r="D138" s="32">
        <v>525</v>
      </c>
      <c r="E138" s="199"/>
    </row>
    <row r="139" spans="2:10" x14ac:dyDescent="0.3">
      <c r="B139" s="29" t="s">
        <v>775</v>
      </c>
      <c r="C139" s="29" t="s">
        <v>776</v>
      </c>
      <c r="D139" s="34">
        <v>491</v>
      </c>
      <c r="E139" s="123"/>
    </row>
    <row r="140" spans="2:10" x14ac:dyDescent="0.3">
      <c r="B140" s="29" t="s">
        <v>777</v>
      </c>
      <c r="C140" s="29" t="s">
        <v>778</v>
      </c>
      <c r="D140" s="34">
        <v>1790</v>
      </c>
      <c r="E140" s="123"/>
    </row>
    <row r="141" spans="2:10" x14ac:dyDescent="0.3">
      <c r="B141" s="29" t="s">
        <v>779</v>
      </c>
      <c r="C141" s="29" t="s">
        <v>780</v>
      </c>
      <c r="D141" s="34">
        <v>216</v>
      </c>
      <c r="E141" s="123"/>
    </row>
    <row r="142" spans="2:10" x14ac:dyDescent="0.3">
      <c r="B142" s="29" t="s">
        <v>781</v>
      </c>
      <c r="C142" s="29" t="s">
        <v>782</v>
      </c>
      <c r="D142" s="34">
        <v>11100</v>
      </c>
      <c r="E142" s="124"/>
    </row>
    <row r="143" spans="2:10" x14ac:dyDescent="0.3">
      <c r="B143" s="29" t="s">
        <v>783</v>
      </c>
      <c r="C143" s="29" t="s">
        <v>784</v>
      </c>
      <c r="D143" s="34">
        <v>8900</v>
      </c>
      <c r="E143" s="124"/>
    </row>
    <row r="144" spans="2:10" x14ac:dyDescent="0.3">
      <c r="B144" s="48" t="s">
        <v>785</v>
      </c>
      <c r="C144" s="49"/>
      <c r="D144" s="50"/>
      <c r="E144" s="124"/>
    </row>
    <row r="145" spans="2:5" x14ac:dyDescent="0.3">
      <c r="B145" s="35" t="s">
        <v>786</v>
      </c>
      <c r="C145" s="36"/>
      <c r="D145" s="36"/>
      <c r="E145" s="124"/>
    </row>
  </sheetData>
  <autoFilter ref="B1:J145" xr:uid="{0373B2AC-48B3-4A85-8F75-75C22CD7273D}">
    <filterColumn colId="4" showButton="0"/>
    <filterColumn colId="5" showButton="0"/>
    <filterColumn colId="6" showButton="0"/>
    <filterColumn colId="7" showButton="0"/>
  </autoFilter>
  <mergeCells count="2">
    <mergeCell ref="E119:E138"/>
    <mergeCell ref="F1:J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F0AC-7123-4EA1-8B48-4E2C9A9A7F2E}">
  <sheetPr>
    <tabColor rgb="FFFFC000"/>
  </sheetPr>
  <dimension ref="B2:G11"/>
  <sheetViews>
    <sheetView showGridLines="0" zoomScale="90" zoomScaleNormal="90" workbookViewId="0">
      <selection activeCell="G19" sqref="G19"/>
    </sheetView>
  </sheetViews>
  <sheetFormatPr defaultRowHeight="14.4" x14ac:dyDescent="0.3"/>
  <cols>
    <col min="2" max="2" width="29.33203125" customWidth="1"/>
    <col min="3" max="3" width="14.44140625" customWidth="1"/>
    <col min="4" max="4" width="34.44140625" customWidth="1"/>
    <col min="5" max="5" width="26.109375" customWidth="1"/>
    <col min="6" max="6" width="27.44140625" customWidth="1"/>
    <col min="7" max="7" width="78.44140625" customWidth="1"/>
  </cols>
  <sheetData>
    <row r="2" spans="2:7" x14ac:dyDescent="0.3">
      <c r="B2" s="90" t="s">
        <v>787</v>
      </c>
      <c r="C2" s="91" t="s">
        <v>788</v>
      </c>
      <c r="D2" s="90" t="s">
        <v>789</v>
      </c>
      <c r="E2" s="90" t="s">
        <v>790</v>
      </c>
      <c r="F2" s="90" t="s">
        <v>791</v>
      </c>
      <c r="G2" s="90" t="s">
        <v>91</v>
      </c>
    </row>
    <row r="3" spans="2:7" x14ac:dyDescent="0.3">
      <c r="B3" s="86" t="s">
        <v>792</v>
      </c>
      <c r="C3" s="87">
        <v>0.51453247183284423</v>
      </c>
      <c r="D3" s="88" t="str">
        <f t="shared" ref="D3:D10" si="0">"kg CO2e / "&amp;F3</f>
        <v>kg CO2e / t clínquer</v>
      </c>
      <c r="E3" s="88" t="s">
        <v>793</v>
      </c>
      <c r="F3" s="88" t="s">
        <v>794</v>
      </c>
      <c r="G3" s="89" t="s">
        <v>795</v>
      </c>
    </row>
    <row r="4" spans="2:7" x14ac:dyDescent="0.3">
      <c r="B4" s="86" t="s">
        <v>796</v>
      </c>
      <c r="C4" s="87">
        <v>0.68296562113745141</v>
      </c>
      <c r="D4" s="88" t="str">
        <f t="shared" si="0"/>
        <v>kg CO2e / t cal</v>
      </c>
      <c r="E4" s="88" t="s">
        <v>797</v>
      </c>
      <c r="F4" s="88" t="s">
        <v>798</v>
      </c>
      <c r="G4" s="89" t="s">
        <v>795</v>
      </c>
    </row>
    <row r="5" spans="2:7" x14ac:dyDescent="0.3">
      <c r="B5" s="86" t="s">
        <v>799</v>
      </c>
      <c r="C5" s="87">
        <v>8.8304228737939222E-2</v>
      </c>
      <c r="D5" s="88" t="str">
        <f t="shared" si="0"/>
        <v>kg CO2e / t vidro</v>
      </c>
      <c r="E5" s="88" t="s">
        <v>800</v>
      </c>
      <c r="F5" s="88" t="s">
        <v>801</v>
      </c>
      <c r="G5" s="89" t="s">
        <v>795</v>
      </c>
    </row>
    <row r="6" spans="2:7" x14ac:dyDescent="0.3">
      <c r="B6" s="86" t="s">
        <v>802</v>
      </c>
      <c r="C6" s="87">
        <v>26.577798378660646</v>
      </c>
      <c r="D6" s="88" t="str">
        <f t="shared" si="0"/>
        <v>kg CO2e / t carbonatos consumidos</v>
      </c>
      <c r="E6" s="88" t="s">
        <v>803</v>
      </c>
      <c r="F6" s="88" t="s">
        <v>804</v>
      </c>
      <c r="G6" s="89" t="s">
        <v>795</v>
      </c>
    </row>
    <row r="7" spans="2:7" x14ac:dyDescent="0.3">
      <c r="B7" s="86" t="s">
        <v>805</v>
      </c>
      <c r="C7" s="87">
        <v>96.255443240522112</v>
      </c>
      <c r="D7" s="88" t="str">
        <f t="shared" si="0"/>
        <v>kg CO2e / t ácido nítrico</v>
      </c>
      <c r="E7" s="88" t="s">
        <v>806</v>
      </c>
      <c r="F7" s="88" t="s">
        <v>807</v>
      </c>
      <c r="G7" s="89" t="s">
        <v>795</v>
      </c>
    </row>
    <row r="8" spans="2:7" x14ac:dyDescent="0.3">
      <c r="B8" s="86" t="s">
        <v>808</v>
      </c>
      <c r="C8" s="87">
        <v>1.73</v>
      </c>
      <c r="D8" s="88" t="str">
        <f t="shared" si="0"/>
        <v>kg CO2e / t etileno</v>
      </c>
      <c r="E8" s="88" t="s">
        <v>809</v>
      </c>
      <c r="F8" s="88" t="s">
        <v>810</v>
      </c>
      <c r="G8" s="89" t="s">
        <v>811</v>
      </c>
    </row>
    <row r="9" spans="2:7" x14ac:dyDescent="0.3">
      <c r="B9" s="86" t="s">
        <v>812</v>
      </c>
      <c r="C9" s="87">
        <v>3.4417139239534635E-2</v>
      </c>
      <c r="D9" s="88" t="str">
        <f t="shared" si="0"/>
        <v>kg CO2e / t aço</v>
      </c>
      <c r="E9" s="88" t="s">
        <v>813</v>
      </c>
      <c r="F9" s="88" t="s">
        <v>814</v>
      </c>
      <c r="G9" s="89" t="s">
        <v>795</v>
      </c>
    </row>
    <row r="10" spans="2:7" x14ac:dyDescent="0.3">
      <c r="B10" s="86" t="s">
        <v>815</v>
      </c>
      <c r="C10" s="87">
        <v>0.52</v>
      </c>
      <c r="D10" s="88" t="str">
        <f t="shared" si="0"/>
        <v>kg CO2e / t chumbo</v>
      </c>
      <c r="E10" s="88" t="s">
        <v>816</v>
      </c>
      <c r="F10" s="88" t="s">
        <v>817</v>
      </c>
      <c r="G10" s="89" t="s">
        <v>818</v>
      </c>
    </row>
    <row r="11" spans="2:7" x14ac:dyDescent="0.3">
      <c r="B11" s="86" t="s">
        <v>57</v>
      </c>
      <c r="C11" s="92"/>
      <c r="D11" s="93"/>
      <c r="E11" s="93"/>
      <c r="F11" s="93"/>
      <c r="G11" s="94"/>
    </row>
  </sheetData>
  <phoneticPr fontId="3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11</vt:i4>
      </vt:variant>
    </vt:vector>
  </HeadingPairs>
  <TitlesOfParts>
    <vt:vector size="11" baseType="lpstr">
      <vt:lpstr>Info Entrada</vt:lpstr>
      <vt:lpstr>Disclaimer</vt:lpstr>
      <vt:lpstr>Cálculo Pegada</vt:lpstr>
      <vt:lpstr>FE_Combustíveis</vt:lpstr>
      <vt:lpstr>FE_Transportes</vt:lpstr>
      <vt:lpstr>FE_Transportes_1</vt:lpstr>
      <vt:lpstr>FE_EE</vt:lpstr>
      <vt:lpstr>PAG</vt:lpstr>
      <vt:lpstr>Processos</vt:lpstr>
      <vt:lpstr>Resíduos</vt:lpstr>
      <vt:lpstr>Unidades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Lima</dc:creator>
  <cp:keywords/>
  <dc:description/>
  <cp:lastModifiedBy>Pedro Lima</cp:lastModifiedBy>
  <cp:revision/>
  <dcterms:created xsi:type="dcterms:W3CDTF">2025-02-11T10:26:22Z</dcterms:created>
  <dcterms:modified xsi:type="dcterms:W3CDTF">2025-05-27T09:35:51Z</dcterms:modified>
  <cp:category/>
  <cp:contentStatus/>
</cp:coreProperties>
</file>